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sha\Desktop\"/>
    </mc:Choice>
  </mc:AlternateContent>
  <xr:revisionPtr revIDLastSave="0" documentId="8_{47543D71-5C65-4588-8255-9785EEBAA8AB}" xr6:coauthVersionLast="47" xr6:coauthVersionMax="47" xr10:uidLastSave="{00000000-0000-0000-0000-000000000000}"/>
  <bookViews>
    <workbookView xWindow="-120" yWindow="-120" windowWidth="38640" windowHeight="21120" xr2:uid="{C8A7FA77-3651-3C45-A602-6B90B42E0FA6}"/>
  </bookViews>
  <sheets>
    <sheet name="תזרים" sheetId="1" r:id="rId1"/>
    <sheet name="מאזן" sheetId="2" r:id="rId2"/>
    <sheet name="פנסיה" sheetId="7" r:id="rId3"/>
    <sheet name="התפתחות הון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7" l="1" a="1"/>
  <c r="O26" i="7" s="1"/>
  <c r="O27" i="7" s="1" a="1"/>
  <c r="O27" i="7" s="1"/>
  <c r="E13" i="7" s="1"/>
  <c r="N26" i="7" a="1"/>
  <c r="N26" i="7" s="1"/>
  <c r="N27" i="7" s="1" a="1"/>
  <c r="N27" i="7" s="1"/>
  <c r="D13" i="7" s="1"/>
  <c r="AB16" i="7"/>
  <c r="AB15" i="7"/>
  <c r="AB14" i="7"/>
  <c r="AB13" i="7"/>
  <c r="AB12" i="7"/>
  <c r="AB11" i="7"/>
  <c r="AB10" i="7"/>
  <c r="O8" i="7"/>
  <c r="P4" i="7" s="1"/>
  <c r="P5" i="7" s="1"/>
  <c r="P6" i="7"/>
  <c r="O6" i="7"/>
  <c r="E13" i="6"/>
  <c r="C13" i="6"/>
  <c r="F11" i="6"/>
  <c r="G11" i="6" s="1"/>
  <c r="H11" i="6" s="1"/>
  <c r="I11" i="6" s="1"/>
  <c r="J11" i="6" s="1"/>
  <c r="K11" i="6" s="1"/>
  <c r="L11" i="6" s="1"/>
  <c r="M11" i="6" s="1"/>
  <c r="N11" i="6" s="1"/>
  <c r="O11" i="6" s="1"/>
  <c r="P11" i="6" s="1"/>
  <c r="Q11" i="6" s="1"/>
  <c r="R11" i="6" s="1"/>
  <c r="S11" i="6" s="1"/>
  <c r="T11" i="6" s="1"/>
  <c r="U11" i="6" s="1"/>
  <c r="V11" i="6" s="1"/>
  <c r="W11" i="6" s="1"/>
  <c r="X11" i="6" s="1"/>
  <c r="Y11" i="6" s="1"/>
  <c r="F10" i="6"/>
  <c r="G10" i="6" s="1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Y10" i="6" s="1"/>
  <c r="F9" i="6"/>
  <c r="G9" i="6" s="1"/>
  <c r="H9" i="6" s="1"/>
  <c r="I9" i="6" s="1"/>
  <c r="J9" i="6" s="1"/>
  <c r="K9" i="6" s="1"/>
  <c r="L9" i="6" s="1"/>
  <c r="M9" i="6" s="1"/>
  <c r="N9" i="6" s="1"/>
  <c r="O9" i="6" s="1"/>
  <c r="P9" i="6" s="1"/>
  <c r="Q9" i="6" s="1"/>
  <c r="R9" i="6" s="1"/>
  <c r="S9" i="6" s="1"/>
  <c r="T9" i="6" s="1"/>
  <c r="U9" i="6" s="1"/>
  <c r="V9" i="6" s="1"/>
  <c r="W9" i="6" s="1"/>
  <c r="X9" i="6" s="1"/>
  <c r="Y9" i="6" s="1"/>
  <c r="F8" i="6"/>
  <c r="G8" i="6" s="1"/>
  <c r="H8" i="6" s="1"/>
  <c r="I8" i="6" s="1"/>
  <c r="J8" i="6" s="1"/>
  <c r="K8" i="6" s="1"/>
  <c r="L8" i="6" s="1"/>
  <c r="M8" i="6" s="1"/>
  <c r="N8" i="6" s="1"/>
  <c r="O8" i="6" s="1"/>
  <c r="P8" i="6" s="1"/>
  <c r="Q8" i="6" s="1"/>
  <c r="R8" i="6" s="1"/>
  <c r="S8" i="6" s="1"/>
  <c r="T8" i="6" s="1"/>
  <c r="U8" i="6" s="1"/>
  <c r="V8" i="6" s="1"/>
  <c r="W8" i="6" s="1"/>
  <c r="X8" i="6" s="1"/>
  <c r="Y8" i="6" s="1"/>
  <c r="F7" i="6"/>
  <c r="G7" i="6" s="1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F13" i="6" l="1"/>
  <c r="F21" i="7"/>
  <c r="G21" i="7" s="1"/>
  <c r="F22" i="7"/>
  <c r="G22" i="7" s="1"/>
  <c r="H22" i="7" s="1"/>
  <c r="F23" i="7"/>
  <c r="G23" i="7" s="1"/>
  <c r="H23" i="7" s="1"/>
  <c r="O4" i="7"/>
  <c r="O5" i="7" s="1"/>
  <c r="G13" i="6"/>
  <c r="H7" i="6"/>
  <c r="F19" i="7" l="1"/>
  <c r="G19" i="7" s="1"/>
  <c r="H19" i="7" s="1"/>
  <c r="F18" i="7"/>
  <c r="G18" i="7" s="1"/>
  <c r="H18" i="7" s="1"/>
  <c r="F17" i="7"/>
  <c r="G17" i="7" s="1"/>
  <c r="Y5" i="7"/>
  <c r="X10" i="7" s="1"/>
  <c r="X5" i="7"/>
  <c r="H21" i="7"/>
  <c r="H13" i="6"/>
  <c r="I7" i="6"/>
  <c r="W5" i="7" l="1"/>
  <c r="V10" i="7" s="1"/>
  <c r="V5" i="7"/>
  <c r="H17" i="7"/>
  <c r="Y10" i="7"/>
  <c r="I13" i="6"/>
  <c r="J7" i="6"/>
  <c r="W10" i="7" l="1"/>
  <c r="V11" i="7" s="1"/>
  <c r="X11" i="7"/>
  <c r="K7" i="6"/>
  <c r="J13" i="6"/>
  <c r="W11" i="7" l="1"/>
  <c r="V12" i="7" s="1"/>
  <c r="Y11" i="7"/>
  <c r="K13" i="6"/>
  <c r="L7" i="6"/>
  <c r="X12" i="7" l="1"/>
  <c r="W12" i="7"/>
  <c r="V13" i="7" s="1"/>
  <c r="M7" i="6"/>
  <c r="L13" i="6"/>
  <c r="W13" i="7" l="1"/>
  <c r="V14" i="7" s="1"/>
  <c r="Y12" i="7"/>
  <c r="N7" i="6"/>
  <c r="M13" i="6"/>
  <c r="W14" i="7" l="1"/>
  <c r="V15" i="7" s="1"/>
  <c r="X13" i="7"/>
  <c r="O7" i="6"/>
  <c r="N13" i="6"/>
  <c r="W15" i="7" l="1"/>
  <c r="V16" i="7" s="1"/>
  <c r="Y13" i="7"/>
  <c r="X14" i="7" s="1"/>
  <c r="P7" i="6"/>
  <c r="O13" i="6"/>
  <c r="W16" i="7" l="1"/>
  <c r="AC10" i="7" s="1"/>
  <c r="V20" i="7" s="1"/>
  <c r="I17" i="7" s="1"/>
  <c r="Y14" i="7"/>
  <c r="X15" i="7" s="1"/>
  <c r="P13" i="6"/>
  <c r="Q7" i="6"/>
  <c r="V17" i="7" l="1"/>
  <c r="Y15" i="7"/>
  <c r="X16" i="7" s="1"/>
  <c r="Q13" i="6"/>
  <c r="R7" i="6"/>
  <c r="Y16" i="7" l="1"/>
  <c r="AD10" i="7" s="1"/>
  <c r="W20" i="7" s="1"/>
  <c r="I21" i="7" s="1"/>
  <c r="R13" i="6"/>
  <c r="S7" i="6"/>
  <c r="X17" i="7" l="1"/>
  <c r="S13" i="6"/>
  <c r="T7" i="6"/>
  <c r="T13" i="6" l="1"/>
  <c r="U7" i="6"/>
  <c r="U13" i="6" l="1"/>
  <c r="V7" i="6"/>
  <c r="V13" i="6" l="1"/>
  <c r="W7" i="6"/>
  <c r="W13" i="6" l="1"/>
  <c r="X7" i="6"/>
  <c r="X13" i="6" l="1"/>
  <c r="Y7" i="6"/>
  <c r="Y13" i="6" s="1"/>
  <c r="C24" i="2" l="1"/>
  <c r="E19" i="2"/>
  <c r="D60" i="1" l="1"/>
  <c r="D7" i="1" l="1"/>
  <c r="D59" i="1" s="1"/>
  <c r="E7" i="1"/>
  <c r="D12" i="1"/>
  <c r="D61" i="1" s="1"/>
  <c r="D62" i="1" s="1"/>
  <c r="E12" i="1"/>
  <c r="G61" i="1" s="1"/>
  <c r="D16" i="1"/>
  <c r="G16" i="1"/>
  <c r="E17" i="1"/>
  <c r="G17" i="1"/>
  <c r="G18" i="1"/>
  <c r="G19" i="1"/>
  <c r="E20" i="1"/>
  <c r="G20" i="1"/>
  <c r="G21" i="1"/>
  <c r="G22" i="1"/>
  <c r="G23" i="1"/>
  <c r="G24" i="1"/>
  <c r="E25" i="1"/>
  <c r="G25" i="1"/>
  <c r="G26" i="1"/>
  <c r="G27" i="1"/>
  <c r="G28" i="1"/>
  <c r="G29" i="1"/>
  <c r="E30" i="1"/>
  <c r="G30" i="1"/>
  <c r="G31" i="1"/>
  <c r="G32" i="1"/>
  <c r="G33" i="1"/>
  <c r="G34" i="1"/>
  <c r="G35" i="1"/>
  <c r="E36" i="1"/>
  <c r="G36" i="1"/>
  <c r="G37" i="1"/>
  <c r="G38" i="1"/>
  <c r="G39" i="1"/>
  <c r="G40" i="1"/>
  <c r="G41" i="1"/>
  <c r="G42" i="1"/>
  <c r="E43" i="1"/>
  <c r="G43" i="1"/>
  <c r="G44" i="1"/>
  <c r="G45" i="1"/>
  <c r="E46" i="1"/>
  <c r="G46" i="1"/>
  <c r="G47" i="1"/>
  <c r="G48" i="1"/>
  <c r="G49" i="1"/>
  <c r="E50" i="1"/>
  <c r="G50" i="1"/>
  <c r="G51" i="1"/>
  <c r="G52" i="1"/>
  <c r="E53" i="1"/>
  <c r="G53" i="1"/>
  <c r="G54" i="1"/>
  <c r="G55" i="1"/>
  <c r="E56" i="1"/>
  <c r="G56" i="1"/>
  <c r="G57" i="1"/>
  <c r="G58" i="1"/>
  <c r="D63" i="1" l="1"/>
  <c r="G60" i="1"/>
  <c r="G62" i="1" s="1"/>
  <c r="G59" i="1"/>
  <c r="E14" i="1"/>
  <c r="H20" i="1"/>
  <c r="H56" i="1"/>
  <c r="H30" i="1"/>
  <c r="H17" i="1"/>
  <c r="H46" i="1"/>
  <c r="H43" i="1"/>
  <c r="H25" i="1"/>
  <c r="H50" i="1"/>
  <c r="H36" i="1"/>
  <c r="H53" i="1"/>
  <c r="D14" i="1"/>
  <c r="G63" i="1" l="1"/>
  <c r="K3" i="2" l="1"/>
  <c r="K6" i="2"/>
  <c r="K8" i="2"/>
  <c r="K11" i="2"/>
  <c r="K16" i="2"/>
  <c r="K19" i="2"/>
  <c r="C25" i="2" l="1"/>
  <c r="E3" i="2"/>
  <c r="Q5" i="2" s="1"/>
  <c r="T10" i="2"/>
  <c r="T9" i="2"/>
  <c r="T8" i="2"/>
  <c r="T7" i="2"/>
  <c r="T6" i="2"/>
  <c r="T5" i="2"/>
  <c r="E16" i="2"/>
  <c r="Q9" i="2" s="1"/>
  <c r="E11" i="2"/>
  <c r="Q8" i="2" s="1"/>
  <c r="E8" i="2"/>
  <c r="Q7" i="2" s="1"/>
  <c r="E6" i="2"/>
  <c r="Q6" i="2" s="1"/>
  <c r="C26" i="2" l="1"/>
  <c r="T12" i="2"/>
  <c r="Q12" i="2"/>
</calcChain>
</file>

<file path=xl/sharedStrings.xml><?xml version="1.0" encoding="utf-8"?>
<sst xmlns="http://schemas.openxmlformats.org/spreadsheetml/2006/main" count="274" uniqueCount="201">
  <si>
    <t>הכנסות</t>
  </si>
  <si>
    <t>הכנסות קבועות מהשקעות</t>
  </si>
  <si>
    <t>הוצאות קבועות (נטו)</t>
  </si>
  <si>
    <t>תזרים התחלתי</t>
  </si>
  <si>
    <t>יתרה להוצאות שוטפות</t>
  </si>
  <si>
    <t>הוצאות שוטפות</t>
  </si>
  <si>
    <t>אוכל</t>
  </si>
  <si>
    <t>ארנונה</t>
  </si>
  <si>
    <t>חשמל</t>
  </si>
  <si>
    <t>תקשורת</t>
  </si>
  <si>
    <t>החזקת בית (תיקונים ותחזוקה)</t>
  </si>
  <si>
    <t>ילדים</t>
  </si>
  <si>
    <t>שיעורים פרטיים</t>
  </si>
  <si>
    <t>הסעות</t>
  </si>
  <si>
    <t>חוגים</t>
  </si>
  <si>
    <t>בייביסטר</t>
  </si>
  <si>
    <t>דמי כיס</t>
  </si>
  <si>
    <t>טיפוח</t>
  </si>
  <si>
    <t>ביגוד והנעלה</t>
  </si>
  <si>
    <t>קוסמטיקה</t>
  </si>
  <si>
    <t>מספרה</t>
  </si>
  <si>
    <t>קנסות</t>
  </si>
  <si>
    <t>ספרים</t>
  </si>
  <si>
    <t>תמיכה בבני משפחה</t>
  </si>
  <si>
    <t>מזומן ללא מעקב</t>
  </si>
  <si>
    <t>סה״כ הוצאות שוטפות</t>
  </si>
  <si>
    <t>דיור</t>
  </si>
  <si>
    <t>אחר</t>
  </si>
  <si>
    <t>חיות מחמד</t>
  </si>
  <si>
    <t>וטרינר</t>
  </si>
  <si>
    <t>רכבים</t>
  </si>
  <si>
    <t>גינון ונקיון</t>
  </si>
  <si>
    <t>פנאי
ומותרות</t>
  </si>
  <si>
    <t>מותרות נוספות</t>
  </si>
  <si>
    <t>עזרה מהמשפחה</t>
  </si>
  <si>
    <t>סופר</t>
  </si>
  <si>
    <t>גן \ בית ספר</t>
  </si>
  <si>
    <t>אגרת רישוי</t>
  </si>
  <si>
    <t>תיקונים וטיפולים</t>
  </si>
  <si>
    <t>דוג ווקר</t>
  </si>
  <si>
    <t>פארם ותרופות</t>
  </si>
  <si>
    <t>טלוויזיה + אינטרנט</t>
  </si>
  <si>
    <t>ספק</t>
  </si>
  <si>
    <t>טלפון</t>
  </si>
  <si>
    <t>חופשות</t>
  </si>
  <si>
    <t>שטיפה</t>
  </si>
  <si>
    <t>מכון כושר</t>
  </si>
  <si>
    <t>מתנות</t>
  </si>
  <si>
    <t>דלק \ חשמל</t>
  </si>
  <si>
    <t>ביטוחים</t>
  </si>
  <si>
    <t>מוצרים לבית</t>
  </si>
  <si>
    <t>-</t>
  </si>
  <si>
    <t>יתרה</t>
  </si>
  <si>
    <t>מגורים</t>
  </si>
  <si>
    <t>סיכום</t>
  </si>
  <si>
    <t>מים וגז</t>
  </si>
  <si>
    <t>דמי ניהול</t>
  </si>
  <si>
    <t>לפני התהליך</t>
  </si>
  <si>
    <t>אחרי התהליך</t>
  </si>
  <si>
    <t>סה"כ</t>
  </si>
  <si>
    <t>משכנתא \ שכר דירה</t>
  </si>
  <si>
    <t>הוראות קבע להשקעות</t>
  </si>
  <si>
    <t>סך היתרה \ הגרעון החודשי</t>
  </si>
  <si>
    <t>משלוחים</t>
  </si>
  <si>
    <t>מסעדות</t>
  </si>
  <si>
    <t>בלתמ"ים</t>
  </si>
  <si>
    <t>הכנסות קבועות (נטו)</t>
  </si>
  <si>
    <t>דירה למגורים</t>
  </si>
  <si>
    <t>נדל"ן בארץ</t>
  </si>
  <si>
    <t>נדל"ן בחו"ל</t>
  </si>
  <si>
    <t>תיקי השקעה</t>
  </si>
  <si>
    <t>עו"ש</t>
  </si>
  <si>
    <t>רכב 1</t>
  </si>
  <si>
    <t>רכב 2</t>
  </si>
  <si>
    <t>רכב 3</t>
  </si>
  <si>
    <t>נכסים</t>
  </si>
  <si>
    <t>הלוואת מינוף 1</t>
  </si>
  <si>
    <t>הלוואת מינוף 2</t>
  </si>
  <si>
    <t>הלוואת מינוף 3</t>
  </si>
  <si>
    <t>הלוואת מינוף 4</t>
  </si>
  <si>
    <t>הלוואת מינוף 5</t>
  </si>
  <si>
    <t>הלוואת רכב 1</t>
  </si>
  <si>
    <t>הלוואת רכב 2</t>
  </si>
  <si>
    <t>הלוואת רכב 3</t>
  </si>
  <si>
    <t>התחייבויות</t>
  </si>
  <si>
    <t>נדל"ן 
בארץ</t>
  </si>
  <si>
    <t>נדל"ן
בחו"ל</t>
  </si>
  <si>
    <t>נדל"ן
בארץ</t>
  </si>
  <si>
    <t>תיקי
השקעה</t>
  </si>
  <si>
    <t>הלוואות
נוספות</t>
  </si>
  <si>
    <t>←</t>
  </si>
  <si>
    <t>פנסיה 1</t>
  </si>
  <si>
    <t>פנסיה 2</t>
  </si>
  <si>
    <t>סכום נוכחי</t>
  </si>
  <si>
    <t>הפקדה חודשית</t>
  </si>
  <si>
    <t>מס הכנסה</t>
  </si>
  <si>
    <t>התאים בצבע הזה דורשים הזנה</t>
  </si>
  <si>
    <t>התקציב שלנו</t>
  </si>
  <si>
    <t>סה"כ הוצאות</t>
  </si>
  <si>
    <t>כמה אנחנו מוכנים להפחית</t>
  </si>
  <si>
    <t>הגנה כלכלית</t>
  </si>
  <si>
    <t>הלוואות</t>
  </si>
  <si>
    <t>הכנסה נטו 2</t>
  </si>
  <si>
    <t>הכנסה נטו 1</t>
  </si>
  <si>
    <t>הוצאות
בוקר טוב</t>
  </si>
  <si>
    <t>סה"כ הוצאות קבועות</t>
  </si>
  <si>
    <t>שווי נקי</t>
  </si>
  <si>
    <t>דירה להשקעה</t>
  </si>
  <si>
    <t>נכס נוסף</t>
  </si>
  <si>
    <t>נכס ראשון</t>
  </si>
  <si>
    <t>נכס שני</t>
  </si>
  <si>
    <t>פק"מ</t>
  </si>
  <si>
    <t>מט"ח</t>
  </si>
  <si>
    <t>קופות גמל</t>
  </si>
  <si>
    <t>תיק עצמאי</t>
  </si>
  <si>
    <t>קרנות השתלמות</t>
  </si>
  <si>
    <t>תיקים מנוהלים</t>
  </si>
  <si>
    <t>פוליסות חיסכון</t>
  </si>
  <si>
    <t>קריפטו</t>
  </si>
  <si>
    <t>סטארטאפ</t>
  </si>
  <si>
    <t>משכנתא - דירה למגורים</t>
  </si>
  <si>
    <t>משכנתא - דירה להשקעה</t>
  </si>
  <si>
    <t>הלוואה לכל מטרה</t>
  </si>
  <si>
    <t>משכנתא</t>
  </si>
  <si>
    <t>הלוואה</t>
  </si>
  <si>
    <t>מינוס</t>
  </si>
  <si>
    <t>תשלומים באשראי</t>
  </si>
  <si>
    <t>מע"מ</t>
  </si>
  <si>
    <t>ביטוח לאומי</t>
  </si>
  <si>
    <t>שוק ההון</t>
  </si>
  <si>
    <t>מיסים</t>
  </si>
  <si>
    <t>תשואה ריאלית</t>
  </si>
  <si>
    <t>פרישה בת הזוג</t>
  </si>
  <si>
    <t>פרישה בן הזוג</t>
  </si>
  <si>
    <t>כיום</t>
  </si>
  <si>
    <t>קרן השתלמות</t>
  </si>
  <si>
    <t>קופת גמל</t>
  </si>
  <si>
    <t>פרטים לחישוב</t>
  </si>
  <si>
    <t>פרטים אישיים</t>
  </si>
  <si>
    <t>בת הזוג</t>
  </si>
  <si>
    <t>בן הזוג</t>
  </si>
  <si>
    <t>סכום פטור לפי חוק</t>
  </si>
  <si>
    <t>שווי נקודת מס</t>
  </si>
  <si>
    <t>גיל</t>
  </si>
  <si>
    <t>סכום פטור</t>
  </si>
  <si>
    <t>סכום לא פטור</t>
  </si>
  <si>
    <t>תאריך לידה</t>
  </si>
  <si>
    <t>שנים עד להורדת הילוך</t>
  </si>
  <si>
    <t>גיל פרישה</t>
  </si>
  <si>
    <t>שנים מהורדת הילוך עד לפנסיה</t>
  </si>
  <si>
    <t>הנחות</t>
  </si>
  <si>
    <t>תאריך היום</t>
  </si>
  <si>
    <t>חישוב עזר</t>
  </si>
  <si>
    <t>מדרגת מס</t>
  </si>
  <si>
    <t>מס</t>
  </si>
  <si>
    <t>מס בת הזוג</t>
  </si>
  <si>
    <t>מס בן הזוג</t>
  </si>
  <si>
    <t>החלטות</t>
  </si>
  <si>
    <t>גיל שמורידים הילוך</t>
  </si>
  <si>
    <t>בכמה מורידים הילוך?</t>
  </si>
  <si>
    <t>פיננסים</t>
  </si>
  <si>
    <r>
      <t xml:space="preserve">תשואה </t>
    </r>
    <r>
      <rPr>
        <b/>
        <sz val="16"/>
        <rFont val="Arial"/>
        <family val="2"/>
      </rPr>
      <t xml:space="preserve">ריאלית </t>
    </r>
    <r>
      <rPr>
        <sz val="16"/>
        <rFont val="Arial"/>
        <family val="2"/>
      </rPr>
      <t>ממוצעת</t>
    </r>
  </si>
  <si>
    <t>מקדם המרה מוערך</t>
  </si>
  <si>
    <r>
      <t xml:space="preserve">קצבת הפנסיה - הערכה </t>
    </r>
    <r>
      <rPr>
        <b/>
        <u val="singleAccounting"/>
        <sz val="20"/>
        <color rgb="FFFF0000"/>
        <rFont val="Arial Hebrew"/>
        <charset val="177"/>
      </rPr>
      <t>גסה</t>
    </r>
  </si>
  <si>
    <t>סכום נצבר כשמורידים הילוך</t>
  </si>
  <si>
    <t>סכום בפרישה</t>
  </si>
  <si>
    <r>
      <t>קצבה חודשית
(</t>
    </r>
    <r>
      <rPr>
        <b/>
        <u/>
        <sz val="16"/>
        <color theme="1"/>
        <rFont val="Calibri (Body)"/>
      </rPr>
      <t>לפני</t>
    </r>
    <r>
      <rPr>
        <b/>
        <sz val="16"/>
        <color theme="1"/>
        <rFont val="Arial"/>
        <family val="2"/>
        <scheme val="minor"/>
      </rPr>
      <t xml:space="preserve"> מס הכנס)</t>
    </r>
  </si>
  <si>
    <r>
      <t>קצבה חודשית
(</t>
    </r>
    <r>
      <rPr>
        <b/>
        <u/>
        <sz val="16"/>
        <color theme="1"/>
        <rFont val="Calibri (Body)"/>
      </rPr>
      <t>אחרי</t>
    </r>
    <r>
      <rPr>
        <b/>
        <sz val="16"/>
        <color theme="1"/>
        <rFont val="Arial"/>
        <family val="2"/>
        <scheme val="minor"/>
      </rPr>
      <t xml:space="preserve"> מס הכנס)</t>
    </r>
  </si>
  <si>
    <t>קופ"ג להשקעה</t>
  </si>
  <si>
    <t>בת הזוג - קצבה אחרי מס הכנסה</t>
  </si>
  <si>
    <t>בן הזוג - קצבה אחרי מס הכנסה</t>
  </si>
  <si>
    <t>עזר חישוב מקדם המרה</t>
  </si>
  <si>
    <t>מקור</t>
  </si>
  <si>
    <t>https://pensuni.com/?p=1762</t>
  </si>
  <si>
    <t>גבר</t>
  </si>
  <si>
    <t>1924</t>
  </si>
  <si>
    <t>1929</t>
  </si>
  <si>
    <t>1934</t>
  </si>
  <si>
    <t>1939</t>
  </si>
  <si>
    <t>1944</t>
  </si>
  <si>
    <t>1949</t>
  </si>
  <si>
    <t>1954</t>
  </si>
  <si>
    <t>1959</t>
  </si>
  <si>
    <t>1964</t>
  </si>
  <si>
    <t>1969</t>
  </si>
  <si>
    <t>1974</t>
  </si>
  <si>
    <t>1979</t>
  </si>
  <si>
    <t>1984</t>
  </si>
  <si>
    <t>1989</t>
  </si>
  <si>
    <t>1994</t>
  </si>
  <si>
    <t>1999</t>
  </si>
  <si>
    <t>2004</t>
  </si>
  <si>
    <t>2009</t>
  </si>
  <si>
    <t>אישה</t>
  </si>
  <si>
    <t>בן זוג מקבל 60%</t>
  </si>
  <si>
    <t>ללא תשלומים מובטחים</t>
  </si>
  <si>
    <t>המקדמים חושבו לפי דמי ניהול של 0.50%</t>
  </si>
  <si>
    <t>המקדמים חושבו עבור מבוטח שנולד בדצמבר של השנה המוצגת</t>
  </si>
  <si>
    <t>המקדמים חושבו עבור החודש שבו הגיל הינו הגיל המלא.</t>
  </si>
  <si>
    <t>ליתר הגילאים ושנות הלידה יש להשתמש באינטרפולציה.</t>
  </si>
  <si>
    <t>בפרישה בפועל יש לחשב את מקדם הזיקנה לפי נתוני גיל ושנות לידה בפועל של העמית והשאירים ולא להשתמש במקדמים המוצגים בנספח.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</si>
</sst>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5" formatCode="&quot;₪&quot;#,##0.00_);[Red]\(&quot;₪&quot;#,##0.00\)"/>
    <numFmt numFmtId="166" formatCode="_(* #,##0.00_);_(* \(#,##0.00\);_(* &quot;-&quot;??_);_(@_)"/>
    <numFmt numFmtId="167" formatCode="_ * #,##0_ ;_ * \-#,##0_ ;_ * \-??_ ;_ @_ "/>
    <numFmt numFmtId="168" formatCode="&quot;₪&quot;#,##0"/>
    <numFmt numFmtId="169" formatCode="\ #,###%;_(* \(#,##0\);_(* &quot;-&quot;_);_(@_)"/>
    <numFmt numFmtId="170" formatCode="_ * #,##0.0000_ ;_ * \-#,##0.0000_ ;_ * &quot;-&quot;????_ ;_ @_ "/>
    <numFmt numFmtId="174" formatCode="&quot;₪&quot;#,##0;;\-"/>
    <numFmt numFmtId="175" formatCode="[$-1010000]d/m/yyyy;@"/>
    <numFmt numFmtId="176" formatCode="&quot;₪&quot;#,##0.00"/>
    <numFmt numFmtId="177" formatCode="_ * #,##0.00_ ;_ * \-#,##0.00_ ;_ * &quot;-&quot;????_ ;_ @_ "/>
  </numFmts>
  <fonts count="49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2"/>
      <name val="Arial Hebrew"/>
      <charset val="177"/>
    </font>
    <font>
      <sz val="12"/>
      <color theme="2"/>
      <name val="Arial Hebrew"/>
      <charset val="177"/>
    </font>
    <font>
      <sz val="14"/>
      <name val="Arial"/>
      <family val="2"/>
      <charset val="177"/>
    </font>
    <font>
      <b/>
      <sz val="20"/>
      <color theme="2"/>
      <name val="Arial Hebrew"/>
      <charset val="177"/>
    </font>
    <font>
      <sz val="18"/>
      <name val="Arial Hebrew"/>
      <charset val="177"/>
    </font>
    <font>
      <sz val="18"/>
      <color rgb="FF000000"/>
      <name val="Arial Hebrew"/>
      <charset val="177"/>
    </font>
    <font>
      <sz val="20"/>
      <name val="Arial"/>
      <family val="2"/>
      <charset val="177"/>
    </font>
    <font>
      <sz val="14"/>
      <name val="Arial Hebrew"/>
      <charset val="177"/>
    </font>
    <font>
      <sz val="12"/>
      <name val="Arial Hebrew"/>
      <charset val="177"/>
    </font>
    <font>
      <sz val="16"/>
      <name val="Arial Hebrew"/>
      <charset val="177"/>
    </font>
    <font>
      <sz val="20"/>
      <color theme="1"/>
      <name val="Arial Hebrew"/>
      <charset val="177"/>
    </font>
    <font>
      <sz val="12"/>
      <color theme="1"/>
      <name val="Arial Hebrew"/>
      <charset val="177"/>
    </font>
    <font>
      <sz val="20"/>
      <color theme="2"/>
      <name val="Arial Hebrew"/>
      <charset val="177"/>
    </font>
    <font>
      <sz val="18"/>
      <color theme="2"/>
      <name val="Arial Hebrew"/>
      <charset val="177"/>
    </font>
    <font>
      <b/>
      <sz val="18"/>
      <color theme="2"/>
      <name val="Arial Hebrew"/>
      <charset val="177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 Hebrew"/>
      <charset val="177"/>
    </font>
    <font>
      <b/>
      <sz val="26"/>
      <color theme="1"/>
      <name val="Arial"/>
      <family val="2"/>
      <scheme val="minor"/>
    </font>
    <font>
      <sz val="8"/>
      <name val="Arial"/>
      <family val="2"/>
      <scheme val="minor"/>
    </font>
    <font>
      <sz val="14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8"/>
      <color theme="1"/>
      <name val="Arial Hebrew"/>
      <charset val="177"/>
    </font>
    <font>
      <sz val="26"/>
      <name val="Arial Hebrew"/>
      <charset val="177"/>
    </font>
    <font>
      <b/>
      <sz val="24"/>
      <color theme="2"/>
      <name val="Arial Hebrew"/>
      <charset val="177"/>
    </font>
    <font>
      <b/>
      <sz val="16"/>
      <name val="Arial"/>
      <family val="2"/>
    </font>
    <font>
      <sz val="22"/>
      <color rgb="FF000000"/>
      <name val="Arial Hebrew"/>
      <charset val="177"/>
    </font>
    <font>
      <sz val="22"/>
      <name val="Arial Hebrew"/>
      <charset val="177"/>
    </font>
    <font>
      <sz val="22"/>
      <color theme="0"/>
      <name val="Arial Hebrew"/>
      <charset val="177"/>
    </font>
    <font>
      <b/>
      <sz val="24"/>
      <name val="Arial Hebrew"/>
      <charset val="177"/>
    </font>
    <font>
      <b/>
      <sz val="24"/>
      <color theme="1"/>
      <name val="Arial Hebrew"/>
      <charset val="177"/>
    </font>
    <font>
      <u/>
      <sz val="12"/>
      <color theme="10"/>
      <name val="Arial"/>
      <family val="2"/>
      <scheme val="minor"/>
    </font>
    <font>
      <sz val="12"/>
      <color theme="1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2"/>
      <color rgb="FF202121"/>
      <name val="Arial"/>
      <family val="2"/>
    </font>
    <font>
      <b/>
      <u val="singleAccounting"/>
      <sz val="20"/>
      <color rgb="FFFF0000"/>
      <name val="Arial Hebrew"/>
      <charset val="177"/>
    </font>
    <font>
      <b/>
      <u/>
      <sz val="16"/>
      <color theme="1"/>
      <name val="Calibri (Body)"/>
    </font>
    <font>
      <b/>
      <sz val="20"/>
      <color theme="0"/>
      <name val="Arial"/>
      <family val="2"/>
      <scheme val="minor"/>
    </font>
    <font>
      <b/>
      <sz val="14"/>
      <color theme="2"/>
      <name val="Arial Hebrew"/>
      <charset val="177"/>
    </font>
    <font>
      <b/>
      <sz val="14"/>
      <name val="Arial"/>
      <family val="2"/>
    </font>
    <font>
      <b/>
      <sz val="20"/>
      <name val="Arial"/>
      <family val="2"/>
    </font>
    <font>
      <sz val="18"/>
      <color theme="1"/>
      <name val="Arial"/>
      <family val="2"/>
      <scheme val="minor"/>
    </font>
    <font>
      <i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-0.249977111117893"/>
        <bgColor rgb="FF9999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rgb="FF999999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EC9F9B"/>
        <bgColor indexed="64"/>
      </patternFill>
    </fill>
    <fill>
      <patternFill patternType="solid">
        <fgColor rgb="FFC5F1BF"/>
        <bgColor indexed="64"/>
      </patternFill>
    </fill>
    <fill>
      <patternFill patternType="solid">
        <fgColor rgb="FFE2F0DB"/>
        <bgColor indexed="64"/>
      </patternFill>
    </fill>
    <fill>
      <patternFill patternType="solid">
        <fgColor rgb="FFEEA9A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rgb="FFE6E6E6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170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34">
    <xf numFmtId="0" fontId="0" fillId="0" borderId="0" xfId="0"/>
    <xf numFmtId="167" fontId="6" fillId="3" borderId="1" xfId="1" applyNumberFormat="1" applyFont="1" applyFill="1" applyBorder="1" applyAlignment="1" applyProtection="1">
      <alignment horizontal="right" vertical="center" wrapText="1" readingOrder="2"/>
      <protection locked="0"/>
    </xf>
    <xf numFmtId="167" fontId="21" fillId="8" borderId="29" xfId="1" applyNumberFormat="1" applyFont="1" applyFill="1" applyBorder="1" applyAlignment="1" applyProtection="1">
      <alignment horizontal="right" vertical="center" readingOrder="2"/>
      <protection locked="0"/>
    </xf>
    <xf numFmtId="167" fontId="21" fillId="8" borderId="28" xfId="1" applyNumberFormat="1" applyFont="1" applyFill="1" applyBorder="1" applyAlignment="1" applyProtection="1">
      <alignment horizontal="right" vertical="center" readingOrder="2"/>
      <protection locked="0"/>
    </xf>
    <xf numFmtId="167" fontId="21" fillId="8" borderId="30" xfId="1" applyNumberFormat="1" applyFont="1" applyFill="1" applyBorder="1" applyAlignment="1" applyProtection="1">
      <alignment horizontal="right" vertical="center" readingOrder="2"/>
      <protection locked="0"/>
    </xf>
    <xf numFmtId="167" fontId="21" fillId="8" borderId="31" xfId="1" applyNumberFormat="1" applyFont="1" applyFill="1" applyBorder="1" applyAlignment="1" applyProtection="1">
      <alignment horizontal="right" vertical="center" readingOrder="2"/>
      <protection locked="0"/>
    </xf>
    <xf numFmtId="167" fontId="21" fillId="8" borderId="32" xfId="1" applyNumberFormat="1" applyFont="1" applyFill="1" applyBorder="1" applyAlignment="1" applyProtection="1">
      <alignment horizontal="right" vertical="center" readingOrder="2"/>
      <protection locked="0"/>
    </xf>
    <xf numFmtId="1" fontId="24" fillId="6" borderId="1" xfId="0" applyNumberFormat="1" applyFont="1" applyFill="1" applyBorder="1" applyAlignment="1">
      <alignment horizontal="right" vertical="center"/>
    </xf>
    <xf numFmtId="0" fontId="19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8" fontId="0" fillId="0" borderId="0" xfId="0" applyNumberFormat="1" applyBorder="1" applyAlignment="1" applyProtection="1">
      <alignment horizontal="center" vertical="center"/>
    </xf>
    <xf numFmtId="167" fontId="19" fillId="0" borderId="0" xfId="0" applyNumberFormat="1" applyFont="1" applyAlignment="1" applyProtection="1">
      <alignment horizontal="center" vertical="center" wrapText="1"/>
    </xf>
    <xf numFmtId="168" fontId="18" fillId="0" borderId="0" xfId="0" applyNumberFormat="1" applyFont="1" applyAlignment="1" applyProtection="1">
      <alignment horizontal="center" vertical="center"/>
    </xf>
    <xf numFmtId="168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168" fontId="0" fillId="0" borderId="0" xfId="0" applyNumberFormat="1" applyAlignment="1" applyProtection="1">
      <alignment vertical="center"/>
    </xf>
    <xf numFmtId="167" fontId="19" fillId="0" borderId="0" xfId="0" applyNumberFormat="1" applyFont="1" applyAlignment="1" applyProtection="1">
      <alignment vertical="center" wrapText="1"/>
    </xf>
    <xf numFmtId="168" fontId="18" fillId="0" borderId="0" xfId="0" applyNumberFormat="1" applyFont="1" applyAlignment="1" applyProtection="1">
      <alignment vertical="center"/>
    </xf>
    <xf numFmtId="167" fontId="29" fillId="2" borderId="2" xfId="1" applyNumberFormat="1" applyFont="1" applyFill="1" applyBorder="1" applyAlignment="1" applyProtection="1">
      <alignment horizontal="right" vertical="center" wrapText="1" readingOrder="2"/>
    </xf>
    <xf numFmtId="167" fontId="29" fillId="2" borderId="37" xfId="1" applyNumberFormat="1" applyFont="1" applyFill="1" applyBorder="1" applyAlignment="1" applyProtection="1">
      <alignment horizontal="right" vertical="center" wrapText="1" readingOrder="2"/>
    </xf>
    <xf numFmtId="167" fontId="29" fillId="2" borderId="13" xfId="1" applyNumberFormat="1" applyFont="1" applyFill="1" applyBorder="1" applyAlignment="1" applyProtection="1">
      <alignment horizontal="right" vertical="center" wrapText="1" readingOrder="2"/>
    </xf>
    <xf numFmtId="168" fontId="6" fillId="3" borderId="4" xfId="1" applyNumberFormat="1" applyFont="1" applyFill="1" applyBorder="1" applyAlignment="1" applyProtection="1">
      <alignment horizontal="center" vertical="center" readingOrder="2"/>
      <protection locked="0"/>
    </xf>
    <xf numFmtId="168" fontId="6" fillId="3" borderId="6" xfId="1" applyNumberFormat="1" applyFont="1" applyFill="1" applyBorder="1" applyAlignment="1" applyProtection="1">
      <alignment horizontal="center" vertical="center" readingOrder="2"/>
      <protection locked="0"/>
    </xf>
    <xf numFmtId="168" fontId="6" fillId="3" borderId="9" xfId="1" applyNumberFormat="1" applyFont="1" applyFill="1" applyBorder="1" applyAlignment="1" applyProtection="1">
      <alignment horizontal="center" vertical="center" readingOrder="2"/>
      <protection locked="0"/>
    </xf>
    <xf numFmtId="168" fontId="6" fillId="3" borderId="27" xfId="1" applyNumberFormat="1" applyFont="1" applyFill="1" applyBorder="1" applyAlignment="1" applyProtection="1">
      <alignment horizontal="center" vertical="center" readingOrder="2"/>
      <protection locked="0"/>
    </xf>
    <xf numFmtId="168" fontId="6" fillId="3" borderId="34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3" xfId="1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readingOrder="2"/>
    </xf>
    <xf numFmtId="0" fontId="10" fillId="0" borderId="0" xfId="0" applyFont="1" applyAlignment="1">
      <alignment readingOrder="2"/>
    </xf>
    <xf numFmtId="0" fontId="9" fillId="0" borderId="0" xfId="0" applyFont="1" applyAlignment="1">
      <alignment readingOrder="2"/>
    </xf>
    <xf numFmtId="0" fontId="11" fillId="0" borderId="0" xfId="0" applyFont="1" applyAlignment="1">
      <alignment wrapText="1" readingOrder="2"/>
    </xf>
    <xf numFmtId="0" fontId="9" fillId="0" borderId="0" xfId="0" applyFont="1" applyAlignment="1">
      <alignment wrapText="1" readingOrder="2"/>
    </xf>
    <xf numFmtId="167" fontId="6" fillId="0" borderId="0" xfId="1" applyNumberFormat="1" applyFont="1" applyFill="1" applyBorder="1" applyAlignment="1" applyProtection="1">
      <alignment horizontal="right" vertical="center" wrapText="1" readingOrder="2"/>
      <protection locked="0"/>
    </xf>
    <xf numFmtId="167" fontId="0" fillId="0" borderId="0" xfId="0" applyNumberFormat="1" applyAlignment="1">
      <alignment readingOrder="2"/>
    </xf>
    <xf numFmtId="0" fontId="4" fillId="0" borderId="0" xfId="0" applyFont="1" applyAlignment="1">
      <alignment readingOrder="2"/>
    </xf>
    <xf numFmtId="167" fontId="4" fillId="0" borderId="0" xfId="0" applyNumberFormat="1" applyFont="1" applyAlignment="1">
      <alignment readingOrder="2"/>
    </xf>
    <xf numFmtId="167" fontId="5" fillId="0" borderId="0" xfId="1" applyNumberFormat="1" applyFont="1" applyFill="1" applyBorder="1" applyAlignment="1" applyProtection="1">
      <alignment horizontal="center" vertical="center" wrapText="1" readingOrder="2"/>
      <protection locked="0"/>
    </xf>
    <xf numFmtId="167" fontId="5" fillId="2" borderId="14" xfId="1" applyNumberFormat="1" applyFont="1" applyFill="1" applyBorder="1" applyAlignment="1" applyProtection="1">
      <alignment horizontal="center" vertical="center" wrapText="1" readingOrder="2"/>
      <protection locked="0"/>
    </xf>
    <xf numFmtId="0" fontId="8" fillId="0" borderId="0" xfId="0" applyFont="1" applyAlignment="1">
      <alignment readingOrder="2"/>
    </xf>
    <xf numFmtId="0" fontId="13" fillId="0" borderId="0" xfId="0" applyFont="1" applyAlignment="1">
      <alignment wrapText="1" readingOrder="2"/>
    </xf>
    <xf numFmtId="167" fontId="15" fillId="0" borderId="0" xfId="1" applyNumberFormat="1" applyFont="1" applyFill="1" applyBorder="1" applyAlignment="1" applyProtection="1">
      <alignment horizontal="right" vertical="center" readingOrder="2"/>
      <protection locked="0"/>
    </xf>
    <xf numFmtId="167" fontId="5" fillId="7" borderId="14" xfId="1" applyNumberFormat="1" applyFont="1" applyFill="1" applyBorder="1" applyAlignment="1" applyProtection="1">
      <alignment horizontal="right" vertical="center" readingOrder="2"/>
      <protection locked="0"/>
    </xf>
    <xf numFmtId="0" fontId="14" fillId="7" borderId="13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wrapText="1" readingOrder="2"/>
    </xf>
    <xf numFmtId="0" fontId="13" fillId="0" borderId="18" xfId="0" applyFont="1" applyBorder="1" applyAlignment="1">
      <alignment wrapText="1" readingOrder="2"/>
    </xf>
    <xf numFmtId="0" fontId="13" fillId="0" borderId="17" xfId="0" applyFont="1" applyBorder="1" applyAlignment="1">
      <alignment wrapText="1" readingOrder="2"/>
    </xf>
    <xf numFmtId="0" fontId="13" fillId="0" borderId="16" xfId="0" applyFont="1" applyBorder="1" applyAlignment="1">
      <alignment wrapText="1" readingOrder="2"/>
    </xf>
    <xf numFmtId="0" fontId="16" fillId="7" borderId="8" xfId="0" applyFont="1" applyFill="1" applyBorder="1" applyAlignment="1">
      <alignment horizontal="right" vertical="center" readingOrder="2"/>
    </xf>
    <xf numFmtId="167" fontId="6" fillId="0" borderId="0" xfId="1" applyNumberFormat="1" applyFont="1" applyFill="1" applyBorder="1" applyAlignment="1" applyProtection="1">
      <alignment horizontal="right" vertical="center" readingOrder="2"/>
      <protection locked="0"/>
    </xf>
    <xf numFmtId="0" fontId="7" fillId="3" borderId="1" xfId="0" applyFont="1" applyFill="1" applyBorder="1" applyAlignment="1">
      <alignment horizontal="right" vertical="center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7" fillId="3" borderId="10" xfId="0" applyFont="1" applyFill="1" applyBorder="1" applyAlignment="1">
      <alignment horizontal="right" vertical="center" wrapText="1" readingOrder="2"/>
    </xf>
    <xf numFmtId="0" fontId="13" fillId="0" borderId="25" xfId="0" applyFont="1" applyBorder="1" applyAlignment="1">
      <alignment wrapText="1" readingOrder="2"/>
    </xf>
    <xf numFmtId="0" fontId="13" fillId="0" borderId="24" xfId="0" applyFont="1" applyBorder="1" applyAlignment="1">
      <alignment wrapText="1" readingOrder="2"/>
    </xf>
    <xf numFmtId="0" fontId="13" fillId="0" borderId="23" xfId="0" applyFont="1" applyBorder="1" applyAlignment="1">
      <alignment wrapText="1" readingOrder="2"/>
    </xf>
    <xf numFmtId="167" fontId="6" fillId="0" borderId="0" xfId="1" applyNumberFormat="1" applyFont="1" applyFill="1" applyBorder="1" applyAlignment="1" applyProtection="1">
      <alignment horizontal="center" vertical="center" wrapText="1" readingOrder="2"/>
      <protection locked="0"/>
    </xf>
    <xf numFmtId="167" fontId="15" fillId="0" borderId="0" xfId="1" applyNumberFormat="1" applyFont="1" applyFill="1" applyBorder="1" applyAlignment="1" applyProtection="1">
      <alignment horizontal="center" vertical="center" readingOrder="2"/>
      <protection locked="0"/>
    </xf>
    <xf numFmtId="167" fontId="16" fillId="7" borderId="8" xfId="1" applyNumberFormat="1" applyFont="1" applyFill="1" applyBorder="1" applyAlignment="1" applyProtection="1">
      <alignment horizontal="right" vertical="center" wrapText="1" readingOrder="2"/>
      <protection locked="0"/>
    </xf>
    <xf numFmtId="167" fontId="6" fillId="0" borderId="0" xfId="1" applyNumberFormat="1" applyFont="1" applyFill="1" applyBorder="1" applyAlignment="1" applyProtection="1">
      <alignment horizontal="center" vertical="center" readingOrder="2"/>
      <protection locked="0"/>
    </xf>
    <xf numFmtId="167" fontId="5" fillId="0" borderId="0" xfId="1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wrapText="1" readingOrder="2"/>
    </xf>
    <xf numFmtId="0" fontId="31" fillId="15" borderId="21" xfId="0" applyFont="1" applyFill="1" applyBorder="1" applyAlignment="1">
      <alignment horizontal="right" vertical="center" wrapText="1"/>
    </xf>
    <xf numFmtId="0" fontId="31" fillId="15" borderId="19" xfId="0" applyFont="1" applyFill="1" applyBorder="1" applyAlignment="1">
      <alignment horizontal="right" vertical="center" wrapText="1"/>
    </xf>
    <xf numFmtId="0" fontId="31" fillId="15" borderId="20" xfId="0" applyFont="1" applyFill="1" applyBorder="1" applyAlignment="1">
      <alignment horizontal="right" vertical="center" wrapText="1"/>
    </xf>
    <xf numFmtId="174" fontId="32" fillId="3" borderId="29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28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30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31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1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3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2" xfId="1" applyNumberFormat="1" applyFont="1" applyFill="1" applyBorder="1" applyAlignment="1" applyProtection="1">
      <alignment horizontal="right" vertical="center" readingOrder="2"/>
      <protection locked="0"/>
    </xf>
    <xf numFmtId="167" fontId="5" fillId="2" borderId="5" xfId="1" applyNumberFormat="1" applyFont="1" applyFill="1" applyBorder="1" applyAlignment="1" applyProtection="1">
      <alignment horizontal="right" vertical="center" readingOrder="2"/>
      <protection locked="0"/>
    </xf>
    <xf numFmtId="167" fontId="5" fillId="2" borderId="7" xfId="1" applyNumberFormat="1" applyFont="1" applyFill="1" applyBorder="1" applyAlignment="1" applyProtection="1">
      <alignment horizontal="right" vertical="center" readingOrder="2"/>
      <protection locked="0"/>
    </xf>
    <xf numFmtId="174" fontId="33" fillId="7" borderId="28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8" xfId="1" applyNumberFormat="1" applyFont="1" applyFill="1" applyBorder="1" applyAlignment="1" applyProtection="1">
      <alignment horizontal="center" vertical="center" readingOrder="2"/>
      <protection locked="0"/>
    </xf>
    <xf numFmtId="174" fontId="32" fillId="3" borderId="59" xfId="1" applyNumberFormat="1" applyFont="1" applyFill="1" applyBorder="1" applyAlignment="1" applyProtection="1">
      <alignment horizontal="center" vertical="center" readingOrder="2"/>
      <protection locked="0"/>
    </xf>
    <xf numFmtId="174" fontId="33" fillId="7" borderId="59" xfId="1" applyNumberFormat="1" applyFont="1" applyFill="1" applyBorder="1" applyAlignment="1" applyProtection="1">
      <alignment horizontal="center" vertical="center" readingOrder="2"/>
      <protection locked="0"/>
    </xf>
    <xf numFmtId="174" fontId="33" fillId="7" borderId="30" xfId="1" applyNumberFormat="1" applyFont="1" applyFill="1" applyBorder="1" applyAlignment="1" applyProtection="1">
      <alignment horizontal="center" vertical="center" readingOrder="2"/>
      <protection locked="0"/>
    </xf>
    <xf numFmtId="174" fontId="33" fillId="7" borderId="46" xfId="1" applyNumberFormat="1" applyFont="1" applyFill="1" applyBorder="1" applyAlignment="1" applyProtection="1">
      <alignment horizontal="center" vertical="center" readingOrder="2"/>
      <protection locked="0"/>
    </xf>
    <xf numFmtId="167" fontId="29" fillId="2" borderId="14" xfId="1" applyNumberFormat="1" applyFont="1" applyFill="1" applyBorder="1" applyAlignment="1" applyProtection="1">
      <alignment horizontal="center" vertical="center" readingOrder="2"/>
      <protection locked="0"/>
    </xf>
    <xf numFmtId="167" fontId="29" fillId="2" borderId="14" xfId="1" applyNumberFormat="1" applyFont="1" applyFill="1" applyBorder="1" applyAlignment="1" applyProtection="1">
      <alignment horizontal="center" vertical="center" wrapText="1" readingOrder="2"/>
      <protection locked="0"/>
    </xf>
    <xf numFmtId="167" fontId="29" fillId="2" borderId="15" xfId="1" applyNumberFormat="1" applyFont="1" applyFill="1" applyBorder="1" applyAlignment="1" applyProtection="1">
      <alignment horizontal="center" vertical="center" wrapText="1" readingOrder="2"/>
      <protection locked="0"/>
    </xf>
    <xf numFmtId="169" fontId="6" fillId="16" borderId="3" xfId="7" applyNumberFormat="1" applyFont="1" applyFill="1" applyBorder="1" applyAlignment="1" applyProtection="1">
      <alignment horizontal="right" vertical="center" readingOrder="2"/>
      <protection locked="0"/>
    </xf>
    <xf numFmtId="169" fontId="6" fillId="16" borderId="1" xfId="7" applyNumberFormat="1" applyFont="1" applyFill="1" applyBorder="1" applyAlignment="1" applyProtection="1">
      <alignment horizontal="right" vertical="center" readingOrder="2"/>
      <protection locked="0"/>
    </xf>
    <xf numFmtId="169" fontId="6" fillId="16" borderId="8" xfId="7" applyNumberFormat="1" applyFont="1" applyFill="1" applyBorder="1" applyAlignment="1" applyProtection="1">
      <alignment horizontal="right" vertical="center" readingOrder="2"/>
      <protection locked="0"/>
    </xf>
    <xf numFmtId="167" fontId="6" fillId="5" borderId="3" xfId="6" applyNumberFormat="1" applyFont="1" applyFill="1" applyBorder="1" applyAlignment="1" applyProtection="1">
      <alignment horizontal="center" vertical="center" wrapText="1" readingOrder="2"/>
      <protection locked="0"/>
    </xf>
    <xf numFmtId="167" fontId="6" fillId="5" borderId="57" xfId="6" applyNumberFormat="1" applyFont="1" applyFill="1" applyBorder="1" applyAlignment="1" applyProtection="1">
      <alignment horizontal="center" vertical="center" wrapText="1" readingOrder="2"/>
      <protection locked="0"/>
    </xf>
    <xf numFmtId="167" fontId="6" fillId="5" borderId="8" xfId="6" applyNumberFormat="1" applyFont="1" applyFill="1" applyBorder="1" applyAlignment="1" applyProtection="1">
      <alignment horizontal="center" vertical="center" wrapText="1" readingOrder="2"/>
      <protection locked="0"/>
    </xf>
    <xf numFmtId="167" fontId="5" fillId="2" borderId="12" xfId="1" applyNumberFormat="1" applyFont="1" applyFill="1" applyBorder="1" applyAlignment="1" applyProtection="1">
      <alignment horizontal="right" vertical="center" readingOrder="2"/>
      <protection locked="0"/>
    </xf>
    <xf numFmtId="174" fontId="32" fillId="3" borderId="57" xfId="1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Border="1" applyAlignment="1" applyProtection="1">
      <alignment horizontal="center" vertical="center"/>
    </xf>
    <xf numFmtId="167" fontId="21" fillId="8" borderId="41" xfId="1" applyNumberFormat="1" applyFont="1" applyFill="1" applyBorder="1" applyAlignment="1" applyProtection="1">
      <alignment horizontal="right" vertical="center" readingOrder="2"/>
      <protection locked="0"/>
    </xf>
    <xf numFmtId="167" fontId="21" fillId="8" borderId="43" xfId="1" applyNumberFormat="1" applyFont="1" applyFill="1" applyBorder="1" applyAlignment="1" applyProtection="1">
      <alignment horizontal="right" vertical="center" readingOrder="2"/>
      <protection locked="0"/>
    </xf>
    <xf numFmtId="168" fontId="6" fillId="3" borderId="21" xfId="1" applyNumberFormat="1" applyFont="1" applyFill="1" applyBorder="1" applyAlignment="1" applyProtection="1">
      <alignment horizontal="center" vertical="center" readingOrder="2"/>
      <protection locked="0"/>
    </xf>
    <xf numFmtId="168" fontId="6" fillId="3" borderId="20" xfId="1" applyNumberFormat="1" applyFont="1" applyFill="1" applyBorder="1" applyAlignment="1" applyProtection="1">
      <alignment horizontal="center" vertical="center" readingOrder="2"/>
      <protection locked="0"/>
    </xf>
    <xf numFmtId="0" fontId="32" fillId="3" borderId="8" xfId="1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0" fillId="6" borderId="60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horizontal="center" vertical="center" wrapText="1"/>
    </xf>
    <xf numFmtId="168" fontId="0" fillId="0" borderId="41" xfId="0" applyNumberForma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168" fontId="0" fillId="0" borderId="57" xfId="0" applyNumberFormat="1" applyBorder="1" applyAlignment="1">
      <alignment horizontal="center" vertical="center" wrapText="1"/>
    </xf>
    <xf numFmtId="168" fontId="0" fillId="0" borderId="27" xfId="0" applyNumberForma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168" fontId="0" fillId="0" borderId="42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0" fillId="0" borderId="6" xfId="0" applyNumberFormat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168" fontId="0" fillId="0" borderId="43" xfId="0" applyNumberForma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168" fontId="17" fillId="6" borderId="26" xfId="0" applyNumberFormat="1" applyFont="1" applyFill="1" applyBorder="1" applyAlignment="1">
      <alignment horizontal="center" vertical="center" wrapText="1"/>
    </xf>
    <xf numFmtId="168" fontId="17" fillId="6" borderId="18" xfId="0" applyNumberFormat="1" applyFont="1" applyFill="1" applyBorder="1" applyAlignment="1">
      <alignment horizontal="center" vertical="center" wrapText="1"/>
    </xf>
    <xf numFmtId="168" fontId="0" fillId="0" borderId="22" xfId="0" applyNumberFormat="1" applyBorder="1" applyAlignment="1">
      <alignment horizontal="center" vertical="center" wrapText="1"/>
    </xf>
    <xf numFmtId="168" fontId="0" fillId="0" borderId="14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0" fillId="0" borderId="61" xfId="0" applyBorder="1"/>
    <xf numFmtId="1" fontId="24" fillId="17" borderId="1" xfId="0" applyNumberFormat="1" applyFont="1" applyFill="1" applyBorder="1" applyAlignment="1">
      <alignment horizontal="center" vertical="center"/>
    </xf>
    <xf numFmtId="1" fontId="30" fillId="17" borderId="26" xfId="0" applyNumberFormat="1" applyFont="1" applyFill="1" applyBorder="1" applyAlignment="1">
      <alignment horizontal="center" vertical="center"/>
    </xf>
    <xf numFmtId="1" fontId="30" fillId="17" borderId="62" xfId="0" applyNumberFormat="1" applyFont="1" applyFill="1" applyBorder="1" applyAlignment="1">
      <alignment horizontal="center" vertical="center"/>
    </xf>
    <xf numFmtId="1" fontId="30" fillId="17" borderId="11" xfId="0" applyNumberFormat="1" applyFont="1" applyFill="1" applyBorder="1" applyAlignment="1">
      <alignment horizontal="center" vertical="center"/>
    </xf>
    <xf numFmtId="1" fontId="24" fillId="3" borderId="1" xfId="0" applyNumberFormat="1" applyFont="1" applyFill="1" applyBorder="1" applyAlignment="1">
      <alignment horizontal="right" vertical="center"/>
    </xf>
    <xf numFmtId="1" fontId="24" fillId="5" borderId="1" xfId="0" applyNumberFormat="1" applyFont="1" applyFill="1" applyBorder="1" applyAlignment="1">
      <alignment horizontal="center" vertical="center"/>
    </xf>
    <xf numFmtId="168" fontId="37" fillId="0" borderId="0" xfId="0" applyNumberFormat="1" applyFont="1"/>
    <xf numFmtId="0" fontId="0" fillId="4" borderId="1" xfId="0" applyFill="1" applyBorder="1"/>
    <xf numFmtId="1" fontId="38" fillId="3" borderId="41" xfId="0" applyNumberFormat="1" applyFont="1" applyFill="1" applyBorder="1" applyAlignment="1">
      <alignment horizontal="center" vertical="center"/>
    </xf>
    <xf numFmtId="175" fontId="38" fillId="14" borderId="2" xfId="0" applyNumberFormat="1" applyFont="1" applyFill="1" applyBorder="1" applyAlignment="1" applyProtection="1">
      <alignment horizontal="center" vertical="center"/>
      <protection locked="0"/>
    </xf>
    <xf numFmtId="175" fontId="38" fillId="14" borderId="4" xfId="0" applyNumberFormat="1" applyFont="1" applyFill="1" applyBorder="1" applyAlignment="1" applyProtection="1">
      <alignment horizontal="center" vertical="center"/>
      <protection locked="0"/>
    </xf>
    <xf numFmtId="168" fontId="37" fillId="0" borderId="1" xfId="0" applyNumberFormat="1" applyFont="1" applyBorder="1"/>
    <xf numFmtId="1" fontId="38" fillId="3" borderId="43" xfId="0" applyNumberFormat="1" applyFont="1" applyFill="1" applyBorder="1" applyAlignment="1">
      <alignment horizontal="center" vertical="center"/>
    </xf>
    <xf numFmtId="1" fontId="38" fillId="14" borderId="7" xfId="0" applyNumberFormat="1" applyFont="1" applyFill="1" applyBorder="1" applyAlignment="1" applyProtection="1">
      <alignment horizontal="center" vertical="center"/>
      <protection locked="0"/>
    </xf>
    <xf numFmtId="1" fontId="38" fillId="14" borderId="9" xfId="0" applyNumberFormat="1" applyFont="1" applyFill="1" applyBorder="1" applyAlignment="1" applyProtection="1">
      <alignment horizontal="center" vertical="center"/>
      <protection locked="0"/>
    </xf>
    <xf numFmtId="14" fontId="39" fillId="4" borderId="1" xfId="0" applyNumberFormat="1" applyFont="1" applyFill="1" applyBorder="1"/>
    <xf numFmtId="167" fontId="5" fillId="2" borderId="1" xfId="1" applyNumberFormat="1" applyFont="1" applyFill="1" applyBorder="1" applyAlignment="1" applyProtection="1">
      <alignment vertical="center" readingOrder="2"/>
      <protection locked="0"/>
    </xf>
    <xf numFmtId="1" fontId="30" fillId="17" borderId="22" xfId="0" applyNumberFormat="1" applyFont="1" applyFill="1" applyBorder="1" applyAlignment="1">
      <alignment horizontal="center" vertical="center"/>
    </xf>
    <xf numFmtId="1" fontId="30" fillId="17" borderId="15" xfId="0" applyNumberFormat="1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" fontId="24" fillId="17" borderId="49" xfId="0" applyNumberFormat="1" applyFont="1" applyFill="1" applyBorder="1" applyAlignment="1">
      <alignment horizontal="center" vertical="center"/>
    </xf>
    <xf numFmtId="1" fontId="38" fillId="3" borderId="45" xfId="0" applyNumberFormat="1" applyFont="1" applyFill="1" applyBorder="1" applyAlignment="1">
      <alignment horizontal="right" vertical="center" wrapText="1"/>
    </xf>
    <xf numFmtId="1" fontId="38" fillId="14" borderId="29" xfId="0" applyNumberFormat="1" applyFont="1" applyFill="1" applyBorder="1" applyAlignment="1" applyProtection="1">
      <alignment horizontal="center" vertical="center"/>
      <protection locked="0"/>
    </xf>
    <xf numFmtId="1" fontId="38" fillId="14" borderId="4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/>
    <xf numFmtId="176" fontId="37" fillId="0" borderId="1" xfId="0" applyNumberFormat="1" applyFont="1" applyBorder="1"/>
    <xf numFmtId="0" fontId="40" fillId="0" borderId="1" xfId="0" applyFont="1" applyBorder="1"/>
    <xf numFmtId="9" fontId="40" fillId="0" borderId="1" xfId="0" applyNumberFormat="1" applyFont="1" applyBorder="1"/>
    <xf numFmtId="9" fontId="0" fillId="0" borderId="1" xfId="0" applyNumberFormat="1" applyBorder="1"/>
    <xf numFmtId="1" fontId="38" fillId="3" borderId="46" xfId="0" applyNumberFormat="1" applyFont="1" applyFill="1" applyBorder="1" applyAlignment="1">
      <alignment horizontal="right" vertical="center" wrapText="1"/>
    </xf>
    <xf numFmtId="9" fontId="38" fillId="14" borderId="30" xfId="2" applyFont="1" applyFill="1" applyBorder="1" applyAlignment="1" applyProtection="1">
      <alignment horizontal="center" vertical="center"/>
      <protection locked="0"/>
    </xf>
    <xf numFmtId="9" fontId="38" fillId="14" borderId="9" xfId="2" applyFont="1" applyFill="1" applyBorder="1" applyAlignment="1" applyProtection="1">
      <alignment horizontal="center" vertical="center"/>
      <protection locked="0"/>
    </xf>
    <xf numFmtId="1" fontId="38" fillId="3" borderId="47" xfId="0" applyNumberFormat="1" applyFont="1" applyFill="1" applyBorder="1" applyAlignment="1">
      <alignment horizontal="right" vertical="center" wrapText="1"/>
    </xf>
    <xf numFmtId="9" fontId="38" fillId="14" borderId="32" xfId="2" applyFont="1" applyFill="1" applyBorder="1" applyAlignment="1" applyProtection="1">
      <alignment horizontal="center" vertical="center"/>
      <protection locked="0"/>
    </xf>
    <xf numFmtId="9" fontId="38" fillId="14" borderId="27" xfId="2" applyFont="1" applyFill="1" applyBorder="1" applyAlignment="1" applyProtection="1">
      <alignment horizontal="center" vertical="center"/>
      <protection locked="0"/>
    </xf>
    <xf numFmtId="1" fontId="38" fillId="14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0" fillId="6" borderId="13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0" fontId="20" fillId="6" borderId="48" xfId="0" applyFont="1" applyFill="1" applyBorder="1" applyAlignment="1">
      <alignment horizontal="center" vertical="center" wrapText="1"/>
    </xf>
    <xf numFmtId="0" fontId="20" fillId="6" borderId="39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right" vertical="center"/>
    </xf>
    <xf numFmtId="168" fontId="19" fillId="14" borderId="2" xfId="0" applyNumberFormat="1" applyFont="1" applyFill="1" applyBorder="1" applyAlignment="1" applyProtection="1">
      <alignment horizontal="center" vertical="center"/>
      <protection locked="0"/>
    </xf>
    <xf numFmtId="168" fontId="19" fillId="14" borderId="3" xfId="0" applyNumberFormat="1" applyFont="1" applyFill="1" applyBorder="1" applyAlignment="1" applyProtection="1">
      <alignment horizontal="center" vertical="center"/>
      <protection locked="0"/>
    </xf>
    <xf numFmtId="168" fontId="19" fillId="0" borderId="4" xfId="0" applyNumberFormat="1" applyFont="1" applyBorder="1" applyAlignment="1">
      <alignment horizontal="center" vertical="center"/>
    </xf>
    <xf numFmtId="168" fontId="19" fillId="0" borderId="29" xfId="0" applyNumberFormat="1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0" fontId="37" fillId="0" borderId="1" xfId="0" applyFont="1" applyBorder="1"/>
    <xf numFmtId="0" fontId="0" fillId="0" borderId="1" xfId="0" applyBorder="1"/>
    <xf numFmtId="0" fontId="20" fillId="3" borderId="6" xfId="0" applyFont="1" applyFill="1" applyBorder="1" applyAlignment="1">
      <alignment horizontal="right" vertical="center"/>
    </xf>
    <xf numFmtId="168" fontId="19" fillId="14" borderId="5" xfId="0" applyNumberFormat="1" applyFont="1" applyFill="1" applyBorder="1" applyAlignment="1" applyProtection="1">
      <alignment horizontal="center" vertical="center"/>
      <protection locked="0"/>
    </xf>
    <xf numFmtId="168" fontId="19" fillId="14" borderId="1" xfId="0" applyNumberFormat="1" applyFont="1" applyFill="1" applyBorder="1" applyAlignment="1" applyProtection="1">
      <alignment horizontal="center" vertical="center"/>
      <protection locked="0"/>
    </xf>
    <xf numFmtId="168" fontId="19" fillId="0" borderId="6" xfId="0" applyNumberFormat="1" applyFont="1" applyBorder="1" applyAlignment="1">
      <alignment horizontal="center" vertical="center"/>
    </xf>
    <xf numFmtId="168" fontId="19" fillId="0" borderId="28" xfId="0" applyNumberFormat="1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center" vertical="center"/>
    </xf>
    <xf numFmtId="0" fontId="20" fillId="3" borderId="9" xfId="0" applyFont="1" applyFill="1" applyBorder="1" applyAlignment="1">
      <alignment horizontal="right" vertical="center"/>
    </xf>
    <xf numFmtId="168" fontId="19" fillId="14" borderId="7" xfId="0" applyNumberFormat="1" applyFont="1" applyFill="1" applyBorder="1" applyAlignment="1" applyProtection="1">
      <alignment horizontal="center" vertical="center"/>
      <protection locked="0"/>
    </xf>
    <xf numFmtId="168" fontId="19" fillId="14" borderId="8" xfId="0" applyNumberFormat="1" applyFont="1" applyFill="1" applyBorder="1" applyAlignment="1" applyProtection="1">
      <alignment horizontal="center" vertical="center"/>
      <protection locked="0"/>
    </xf>
    <xf numFmtId="168" fontId="19" fillId="0" borderId="9" xfId="0" applyNumberFormat="1" applyFont="1" applyBorder="1" applyAlignment="1">
      <alignment horizontal="center" vertical="center"/>
    </xf>
    <xf numFmtId="168" fontId="19" fillId="0" borderId="30" xfId="0" applyNumberFormat="1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" fontId="24" fillId="17" borderId="2" xfId="0" applyNumberFormat="1" applyFont="1" applyFill="1" applyBorder="1" applyAlignment="1">
      <alignment horizontal="center" vertical="center" wrapText="1"/>
    </xf>
    <xf numFmtId="1" fontId="24" fillId="17" borderId="4" xfId="0" applyNumberFormat="1" applyFont="1" applyFill="1" applyBorder="1" applyAlignment="1">
      <alignment horizontal="center" vertical="center" wrapText="1"/>
    </xf>
    <xf numFmtId="168" fontId="17" fillId="14" borderId="7" xfId="0" applyNumberFormat="1" applyFont="1" applyFill="1" applyBorder="1"/>
    <xf numFmtId="168" fontId="17" fillId="14" borderId="9" xfId="0" applyNumberFormat="1" applyFont="1" applyFill="1" applyBorder="1"/>
    <xf numFmtId="1" fontId="45" fillId="1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6" fillId="0" borderId="0" xfId="8" applyAlignment="1">
      <alignment horizontal="center"/>
    </xf>
    <xf numFmtId="0" fontId="46" fillId="6" borderId="1" xfId="3" applyFont="1" applyFill="1" applyBorder="1" applyAlignment="1">
      <alignment horizontal="center" vertical="center"/>
    </xf>
    <xf numFmtId="0" fontId="26" fillId="0" borderId="0" xfId="4" applyAlignment="1">
      <alignment horizontal="center" vertical="center"/>
    </xf>
    <xf numFmtId="0" fontId="25" fillId="19" borderId="24" xfId="5" applyFill="1" applyBorder="1" applyAlignment="1">
      <alignment horizontal="center" vertical="center"/>
    </xf>
    <xf numFmtId="0" fontId="25" fillId="0" borderId="23" xfId="5" applyBorder="1" applyAlignment="1">
      <alignment horizontal="center" vertical="center"/>
    </xf>
    <xf numFmtId="0" fontId="25" fillId="0" borderId="24" xfId="5" applyBorder="1" applyAlignment="1">
      <alignment horizontal="center" vertical="center"/>
    </xf>
    <xf numFmtId="0" fontId="25" fillId="0" borderId="0" xfId="5" applyAlignment="1">
      <alignment horizontal="center" vertical="center"/>
    </xf>
    <xf numFmtId="177" fontId="25" fillId="0" borderId="36" xfId="6" applyNumberFormat="1" applyFont="1" applyBorder="1" applyAlignment="1">
      <alignment horizontal="center" vertical="center"/>
    </xf>
    <xf numFmtId="177" fontId="25" fillId="0" borderId="0" xfId="6" applyNumberFormat="1" applyFont="1" applyBorder="1" applyAlignment="1">
      <alignment horizontal="center" vertical="center"/>
    </xf>
    <xf numFmtId="0" fontId="25" fillId="0" borderId="0" xfId="5"/>
    <xf numFmtId="177" fontId="25" fillId="0" borderId="36" xfId="6" applyNumberFormat="1" applyFont="1" applyBorder="1"/>
    <xf numFmtId="177" fontId="25" fillId="0" borderId="0" xfId="6" applyNumberFormat="1" applyFont="1" applyBorder="1"/>
    <xf numFmtId="177" fontId="25" fillId="0" borderId="0" xfId="6" applyNumberFormat="1" applyFont="1"/>
    <xf numFmtId="177" fontId="25" fillId="0" borderId="0" xfId="6" applyNumberFormat="1" applyFont="1" applyFill="1" applyBorder="1"/>
    <xf numFmtId="0" fontId="25" fillId="19" borderId="24" xfId="5" applyFill="1" applyBorder="1"/>
    <xf numFmtId="0" fontId="25" fillId="0" borderId="23" xfId="5" applyBorder="1" applyAlignment="1">
      <alignment horizontal="center"/>
    </xf>
    <xf numFmtId="0" fontId="25" fillId="0" borderId="24" xfId="5" applyBorder="1" applyAlignment="1">
      <alignment horizontal="center"/>
    </xf>
    <xf numFmtId="0" fontId="48" fillId="0" borderId="0" xfId="5" applyFont="1"/>
    <xf numFmtId="0" fontId="25" fillId="0" borderId="0" xfId="3"/>
    <xf numFmtId="0" fontId="35" fillId="6" borderId="41" xfId="0" applyFont="1" applyFill="1" applyBorder="1" applyAlignment="1">
      <alignment horizontal="center" vertical="center" wrapText="1" readingOrder="2"/>
    </xf>
    <xf numFmtId="0" fontId="35" fillId="6" borderId="55" xfId="0" applyFont="1" applyFill="1" applyBorder="1" applyAlignment="1">
      <alignment horizontal="center" vertical="center" wrapText="1" readingOrder="2"/>
    </xf>
    <xf numFmtId="0" fontId="35" fillId="6" borderId="42" xfId="0" applyFont="1" applyFill="1" applyBorder="1" applyAlignment="1">
      <alignment horizontal="center" vertical="center" wrapText="1" readingOrder="2"/>
    </xf>
    <xf numFmtId="0" fontId="35" fillId="6" borderId="43" xfId="0" applyFont="1" applyFill="1" applyBorder="1" applyAlignment="1">
      <alignment horizontal="center" vertical="center" wrapText="1" readingOrder="2"/>
    </xf>
    <xf numFmtId="0" fontId="35" fillId="6" borderId="21" xfId="0" applyFont="1" applyFill="1" applyBorder="1" applyAlignment="1">
      <alignment horizontal="center" vertical="center" wrapText="1" readingOrder="2"/>
    </xf>
    <xf numFmtId="0" fontId="35" fillId="6" borderId="19" xfId="0" applyFont="1" applyFill="1" applyBorder="1" applyAlignment="1">
      <alignment horizontal="center" vertical="center" wrapText="1" readingOrder="2"/>
    </xf>
    <xf numFmtId="0" fontId="35" fillId="6" borderId="20" xfId="0" applyFont="1" applyFill="1" applyBorder="1" applyAlignment="1">
      <alignment horizontal="center" vertical="center" wrapText="1" readingOrder="2"/>
    </xf>
    <xf numFmtId="168" fontId="32" fillId="4" borderId="3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1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8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52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10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49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39" xfId="1" applyNumberFormat="1" applyFont="1" applyFill="1" applyBorder="1" applyAlignment="1" applyProtection="1">
      <alignment horizontal="center" vertical="center" wrapText="1" readingOrder="2"/>
      <protection locked="0"/>
    </xf>
    <xf numFmtId="167" fontId="5" fillId="2" borderId="16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22" xfId="1" applyNumberFormat="1" applyFont="1" applyFill="1" applyBorder="1" applyAlignment="1" applyProtection="1">
      <alignment horizontal="center" vertical="center" readingOrder="2"/>
      <protection locked="0"/>
    </xf>
    <xf numFmtId="0" fontId="12" fillId="9" borderId="5" xfId="0" applyFont="1" applyFill="1" applyBorder="1" applyAlignment="1">
      <alignment horizontal="center" vertical="center" wrapText="1" readingOrder="2"/>
    </xf>
    <xf numFmtId="0" fontId="12" fillId="9" borderId="7" xfId="0" applyFont="1" applyFill="1" applyBorder="1" applyAlignment="1">
      <alignment horizontal="center" vertical="center" wrapText="1" readingOrder="2"/>
    </xf>
    <xf numFmtId="168" fontId="32" fillId="4" borderId="3" xfId="1" applyNumberFormat="1" applyFont="1" applyFill="1" applyBorder="1" applyAlignment="1" applyProtection="1">
      <alignment horizontal="center" vertical="center" readingOrder="2"/>
      <protection locked="0"/>
    </xf>
    <xf numFmtId="168" fontId="32" fillId="4" borderId="1" xfId="1" applyNumberFormat="1" applyFont="1" applyFill="1" applyBorder="1" applyAlignment="1" applyProtection="1">
      <alignment horizontal="center" vertical="center" readingOrder="2"/>
      <protection locked="0"/>
    </xf>
    <xf numFmtId="168" fontId="32" fillId="4" borderId="8" xfId="1" applyNumberFormat="1" applyFont="1" applyFill="1" applyBorder="1" applyAlignment="1" applyProtection="1">
      <alignment horizontal="center" vertical="center" readingOrder="2"/>
      <protection locked="0"/>
    </xf>
    <xf numFmtId="0" fontId="12" fillId="9" borderId="2" xfId="0" applyFont="1" applyFill="1" applyBorder="1" applyAlignment="1">
      <alignment horizontal="center" vertical="center" wrapText="1" readingOrder="2"/>
    </xf>
    <xf numFmtId="0" fontId="12" fillId="9" borderId="12" xfId="0" applyFont="1" applyFill="1" applyBorder="1" applyAlignment="1">
      <alignment horizontal="center" vertical="center" wrapText="1" readingOrder="2"/>
    </xf>
    <xf numFmtId="167" fontId="34" fillId="9" borderId="21" xfId="1" applyNumberFormat="1" applyFont="1" applyFill="1" applyBorder="1" applyAlignment="1" applyProtection="1">
      <alignment horizontal="center" vertical="center" wrapText="1" readingOrder="2"/>
    </xf>
    <xf numFmtId="167" fontId="34" fillId="9" borderId="19" xfId="1" applyNumberFormat="1" applyFont="1" applyFill="1" applyBorder="1" applyAlignment="1" applyProtection="1">
      <alignment horizontal="center" vertical="center" wrapText="1" readingOrder="2"/>
    </xf>
    <xf numFmtId="167" fontId="34" fillId="9" borderId="20" xfId="1" applyNumberFormat="1" applyFont="1" applyFill="1" applyBorder="1" applyAlignment="1" applyProtection="1">
      <alignment horizontal="center" vertical="center" wrapText="1" readingOrder="2"/>
    </xf>
    <xf numFmtId="168" fontId="32" fillId="4" borderId="4" xfId="1" applyNumberFormat="1" applyFont="1" applyFill="1" applyBorder="1" applyAlignment="1" applyProtection="1">
      <alignment horizontal="center" vertical="center" readingOrder="2"/>
      <protection locked="0"/>
    </xf>
    <xf numFmtId="168" fontId="32" fillId="4" borderId="6" xfId="1" applyNumberFormat="1" applyFont="1" applyFill="1" applyBorder="1" applyAlignment="1" applyProtection="1">
      <alignment horizontal="center" vertical="center" readingOrder="2"/>
      <protection locked="0"/>
    </xf>
    <xf numFmtId="168" fontId="32" fillId="4" borderId="9" xfId="1" applyNumberFormat="1" applyFont="1" applyFill="1" applyBorder="1" applyAlignment="1" applyProtection="1">
      <alignment horizontal="center" vertical="center" readingOrder="2"/>
      <protection locked="0"/>
    </xf>
    <xf numFmtId="168" fontId="32" fillId="4" borderId="4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6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9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11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58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40" xfId="1" applyNumberFormat="1" applyFont="1" applyFill="1" applyBorder="1" applyAlignment="1" applyProtection="1">
      <alignment horizontal="center" vertical="center" wrapText="1" readingOrder="2"/>
      <protection locked="0"/>
    </xf>
    <xf numFmtId="168" fontId="32" fillId="4" borderId="34" xfId="1" applyNumberFormat="1" applyFont="1" applyFill="1" applyBorder="1" applyAlignment="1" applyProtection="1">
      <alignment horizontal="center" vertical="center" wrapText="1" readingOrder="2"/>
      <protection locked="0"/>
    </xf>
    <xf numFmtId="0" fontId="22" fillId="6" borderId="13" xfId="0" applyFont="1" applyFill="1" applyBorder="1" applyAlignment="1" applyProtection="1">
      <alignment horizontal="center" vertical="center" wrapText="1"/>
    </xf>
    <xf numFmtId="0" fontId="22" fillId="6" borderId="14" xfId="0" applyFont="1" applyFill="1" applyBorder="1" applyAlignment="1" applyProtection="1">
      <alignment horizontal="center" vertical="center" wrapText="1"/>
    </xf>
    <xf numFmtId="0" fontId="22" fillId="6" borderId="15" xfId="0" applyFont="1" applyFill="1" applyBorder="1" applyAlignment="1" applyProtection="1">
      <alignment horizontal="center" vertical="center" wrapText="1"/>
    </xf>
    <xf numFmtId="168" fontId="28" fillId="12" borderId="3" xfId="1" applyNumberFormat="1" applyFont="1" applyFill="1" applyBorder="1" applyAlignment="1" applyProtection="1">
      <alignment horizontal="center" vertical="center" readingOrder="2"/>
    </xf>
    <xf numFmtId="168" fontId="28" fillId="12" borderId="4" xfId="1" applyNumberFormat="1" applyFont="1" applyFill="1" applyBorder="1" applyAlignment="1" applyProtection="1">
      <alignment horizontal="center" vertical="center" readingOrder="2"/>
    </xf>
    <xf numFmtId="168" fontId="28" fillId="13" borderId="52" xfId="1" applyNumberFormat="1" applyFont="1" applyFill="1" applyBorder="1" applyAlignment="1" applyProtection="1">
      <alignment horizontal="center" vertical="center" readingOrder="2"/>
    </xf>
    <xf numFmtId="168" fontId="28" fillId="13" borderId="34" xfId="1" applyNumberFormat="1" applyFont="1" applyFill="1" applyBorder="1" applyAlignment="1" applyProtection="1">
      <alignment horizontal="center" vertical="center" readingOrder="2"/>
    </xf>
    <xf numFmtId="168" fontId="28" fillId="0" borderId="14" xfId="1" applyNumberFormat="1" applyFont="1" applyFill="1" applyBorder="1" applyAlignment="1" applyProtection="1">
      <alignment horizontal="center" vertical="center" readingOrder="2"/>
    </xf>
    <xf numFmtId="168" fontId="28" fillId="0" borderId="15" xfId="1" applyNumberFormat="1" applyFont="1" applyFill="1" applyBorder="1" applyAlignment="1" applyProtection="1">
      <alignment horizontal="center" vertical="center" readingOrder="2"/>
    </xf>
    <xf numFmtId="167" fontId="19" fillId="0" borderId="0" xfId="0" applyNumberFormat="1" applyFont="1" applyAlignment="1" applyProtection="1">
      <alignment horizontal="center" vertical="center" wrapText="1"/>
    </xf>
    <xf numFmtId="168" fontId="27" fillId="4" borderId="21" xfId="0" applyNumberFormat="1" applyFont="1" applyFill="1" applyBorder="1" applyAlignment="1" applyProtection="1">
      <alignment horizontal="center" vertical="center"/>
    </xf>
    <xf numFmtId="168" fontId="27" fillId="4" borderId="19" xfId="0" applyNumberFormat="1" applyFont="1" applyFill="1" applyBorder="1" applyAlignment="1" applyProtection="1">
      <alignment horizontal="center" vertical="center"/>
    </xf>
    <xf numFmtId="168" fontId="27" fillId="4" borderId="20" xfId="0" applyNumberFormat="1" applyFont="1" applyFill="1" applyBorder="1" applyAlignment="1" applyProtection="1">
      <alignment horizontal="center" vertical="center"/>
    </xf>
    <xf numFmtId="167" fontId="16" fillId="2" borderId="21" xfId="1" applyNumberFormat="1" applyFont="1" applyFill="1" applyBorder="1" applyAlignment="1" applyProtection="1">
      <alignment horizontal="center" vertical="center" wrapText="1" readingOrder="2"/>
    </xf>
    <xf numFmtId="167" fontId="16" fillId="2" borderId="19" xfId="1" applyNumberFormat="1" applyFont="1" applyFill="1" applyBorder="1" applyAlignment="1" applyProtection="1">
      <alignment horizontal="center" vertical="center" wrapText="1" readingOrder="2"/>
    </xf>
    <xf numFmtId="167" fontId="16" fillId="2" borderId="20" xfId="1" applyNumberFormat="1" applyFont="1" applyFill="1" applyBorder="1" applyAlignment="1" applyProtection="1">
      <alignment horizontal="center" vertical="center" wrapText="1" readingOrder="2"/>
    </xf>
    <xf numFmtId="167" fontId="16" fillId="2" borderId="21" xfId="1" applyNumberFormat="1" applyFont="1" applyFill="1" applyBorder="1" applyAlignment="1" applyProtection="1">
      <alignment horizontal="center" vertical="center" wrapText="1" readingOrder="2"/>
      <protection locked="0"/>
    </xf>
    <xf numFmtId="167" fontId="16" fillId="2" borderId="20" xfId="1" applyNumberFormat="1" applyFont="1" applyFill="1" applyBorder="1" applyAlignment="1" applyProtection="1">
      <alignment horizontal="center" vertical="center" wrapText="1" readingOrder="2"/>
      <protection locked="0"/>
    </xf>
    <xf numFmtId="168" fontId="27" fillId="4" borderId="50" xfId="0" applyNumberFormat="1" applyFont="1" applyFill="1" applyBorder="1" applyAlignment="1" applyProtection="1">
      <alignment horizontal="center" vertical="center"/>
    </xf>
    <xf numFmtId="168" fontId="27" fillId="4" borderId="51" xfId="0" applyNumberFormat="1" applyFont="1" applyFill="1" applyBorder="1" applyAlignment="1" applyProtection="1">
      <alignment horizontal="center" vertical="center"/>
    </xf>
    <xf numFmtId="168" fontId="18" fillId="0" borderId="0" xfId="0" applyNumberFormat="1" applyFont="1" applyAlignment="1" applyProtection="1">
      <alignment horizontal="center" vertical="center"/>
    </xf>
    <xf numFmtId="167" fontId="16" fillId="2" borderId="35" xfId="1" applyNumberFormat="1" applyFont="1" applyFill="1" applyBorder="1" applyAlignment="1" applyProtection="1">
      <alignment horizontal="center" vertical="center" wrapText="1" readingOrder="2"/>
    </xf>
    <xf numFmtId="167" fontId="16" fillId="2" borderId="33" xfId="1" applyNumberFormat="1" applyFont="1" applyFill="1" applyBorder="1" applyAlignment="1" applyProtection="1">
      <alignment horizontal="center" vertical="center" wrapText="1" readingOrder="2"/>
    </xf>
    <xf numFmtId="0" fontId="22" fillId="11" borderId="16" xfId="0" applyFont="1" applyFill="1" applyBorder="1" applyAlignment="1" applyProtection="1">
      <alignment horizontal="center" vertical="center" wrapText="1"/>
    </xf>
    <xf numFmtId="0" fontId="22" fillId="11" borderId="17" xfId="0" applyFont="1" applyFill="1" applyBorder="1" applyAlignment="1" applyProtection="1">
      <alignment horizontal="center" vertical="center" wrapText="1"/>
    </xf>
    <xf numFmtId="0" fontId="22" fillId="11" borderId="18" xfId="0" applyFont="1" applyFill="1" applyBorder="1" applyAlignment="1" applyProtection="1">
      <alignment horizontal="center" vertical="center" wrapText="1"/>
    </xf>
    <xf numFmtId="0" fontId="22" fillId="10" borderId="16" xfId="0" applyFont="1" applyFill="1" applyBorder="1" applyAlignment="1" applyProtection="1">
      <alignment horizontal="center" vertical="center" wrapText="1"/>
    </xf>
    <xf numFmtId="0" fontId="22" fillId="10" borderId="17" xfId="0" applyFont="1" applyFill="1" applyBorder="1" applyAlignment="1" applyProtection="1">
      <alignment horizontal="center" vertical="center" wrapText="1"/>
    </xf>
    <xf numFmtId="0" fontId="22" fillId="10" borderId="18" xfId="0" applyFont="1" applyFill="1" applyBorder="1" applyAlignment="1" applyProtection="1">
      <alignment horizontal="center" vertical="center" wrapText="1"/>
    </xf>
    <xf numFmtId="1" fontId="24" fillId="17" borderId="1" xfId="0" applyNumberFormat="1" applyFont="1" applyFill="1" applyBorder="1" applyAlignment="1">
      <alignment horizontal="center" vertical="center"/>
    </xf>
    <xf numFmtId="1" fontId="30" fillId="17" borderId="41" xfId="0" applyNumberFormat="1" applyFont="1" applyFill="1" applyBorder="1" applyAlignment="1">
      <alignment horizontal="center" vertical="center"/>
    </xf>
    <xf numFmtId="1" fontId="30" fillId="17" borderId="42" xfId="0" applyNumberFormat="1" applyFont="1" applyFill="1" applyBorder="1" applyAlignment="1">
      <alignment horizontal="center" vertical="center"/>
    </xf>
    <xf numFmtId="1" fontId="30" fillId="17" borderId="43" xfId="0" applyNumberFormat="1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6" borderId="63" xfId="0" applyFont="1" applyFill="1" applyBorder="1" applyAlignment="1">
      <alignment horizontal="center" vertical="center"/>
    </xf>
    <xf numFmtId="0" fontId="20" fillId="14" borderId="54" xfId="0" applyFont="1" applyFill="1" applyBorder="1" applyAlignment="1">
      <alignment horizontal="center" vertical="center" wrapText="1"/>
    </xf>
    <xf numFmtId="0" fontId="20" fillId="14" borderId="28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3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4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5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44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0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1" xfId="1" applyNumberFormat="1" applyFont="1" applyFill="1" applyBorder="1" applyAlignment="1" applyProtection="1">
      <alignment horizontal="center" vertical="center" readingOrder="2"/>
      <protection locked="0"/>
    </xf>
    <xf numFmtId="1" fontId="30" fillId="17" borderId="13" xfId="0" applyNumberFormat="1" applyFont="1" applyFill="1" applyBorder="1" applyAlignment="1">
      <alignment horizontal="center" vertical="center"/>
    </xf>
    <xf numFmtId="1" fontId="30" fillId="17" borderId="15" xfId="0" applyNumberFormat="1" applyFont="1" applyFill="1" applyBorder="1" applyAlignment="1">
      <alignment horizontal="center" vertical="center"/>
    </xf>
    <xf numFmtId="1" fontId="30" fillId="17" borderId="21" xfId="0" applyNumberFormat="1" applyFont="1" applyFill="1" applyBorder="1" applyAlignment="1">
      <alignment horizontal="center" vertical="center"/>
    </xf>
    <xf numFmtId="1" fontId="30" fillId="17" borderId="20" xfId="0" applyNumberFormat="1" applyFont="1" applyFill="1" applyBorder="1" applyAlignment="1">
      <alignment horizontal="center" vertical="center"/>
    </xf>
    <xf numFmtId="1" fontId="30" fillId="17" borderId="35" xfId="0" applyNumberFormat="1" applyFont="1" applyFill="1" applyBorder="1" applyAlignment="1">
      <alignment horizontal="center" vertical="center"/>
    </xf>
    <xf numFmtId="167" fontId="5" fillId="2" borderId="17" xfId="1" applyNumberFormat="1" applyFont="1" applyFill="1" applyBorder="1" applyAlignment="1" applyProtection="1">
      <alignment horizontal="center" vertical="center" readingOrder="2"/>
      <protection locked="0"/>
    </xf>
    <xf numFmtId="167" fontId="5" fillId="2" borderId="18" xfId="1" applyNumberFormat="1" applyFont="1" applyFill="1" applyBorder="1" applyAlignment="1" applyProtection="1">
      <alignment horizontal="center" vertical="center" readingOrder="2"/>
      <protection locked="0"/>
    </xf>
    <xf numFmtId="167" fontId="44" fillId="2" borderId="1" xfId="1" applyNumberFormat="1" applyFont="1" applyFill="1" applyBorder="1" applyAlignment="1" applyProtection="1">
      <alignment horizontal="center" vertical="center" readingOrder="2"/>
      <protection locked="0"/>
    </xf>
    <xf numFmtId="0" fontId="36" fillId="6" borderId="1" xfId="8" applyFill="1" applyBorder="1" applyAlignment="1">
      <alignment horizontal="center"/>
    </xf>
    <xf numFmtId="0" fontId="47" fillId="6" borderId="1" xfId="0" applyFont="1" applyFill="1" applyBorder="1" applyAlignment="1">
      <alignment horizontal="center"/>
    </xf>
    <xf numFmtId="0" fontId="20" fillId="6" borderId="2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168" fontId="43" fillId="18" borderId="4" xfId="0" applyNumberFormat="1" applyFont="1" applyFill="1" applyBorder="1" applyAlignment="1">
      <alignment horizontal="center" vertical="center"/>
    </xf>
    <xf numFmtId="168" fontId="43" fillId="18" borderId="6" xfId="0" applyNumberFormat="1" applyFont="1" applyFill="1" applyBorder="1" applyAlignment="1">
      <alignment horizontal="center" vertical="center"/>
    </xf>
    <xf numFmtId="168" fontId="43" fillId="18" borderId="9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6" xr:uid="{C55ABC70-B120-A94E-A75B-523499CD18E6}"/>
    <cellStyle name="Normal" xfId="0" builtinId="0"/>
    <cellStyle name="Normal 2 2" xfId="3" xr:uid="{A3CD5DDA-B456-9845-9F88-D28B0E0A052F}"/>
    <cellStyle name="Normal 2 2 2" xfId="5" xr:uid="{755AC535-3649-2241-AAE6-A66061F6CA7C}"/>
    <cellStyle name="Normal 3" xfId="4" xr:uid="{0CFF8B72-80E9-0F48-B204-EBA56E438D7F}"/>
    <cellStyle name="Percent" xfId="2" builtinId="5"/>
    <cellStyle name="Percent 2" xfId="7" xr:uid="{52C2D577-F164-4FCC-92DC-341178079E23}"/>
    <cellStyle name="היפר-קישור" xfId="8" builtinId="8"/>
  </cellStyles>
  <dxfs count="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_ * #,##0.00_ ;_ * \-#,##0.00_ ;_ * &quot;-&quot;????_ ;_ @_ 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EA8F94"/>
      <color rgb="FFD4F3F4"/>
      <color rgb="FFB4C6E7"/>
      <color rgb="FFEEA9A4"/>
      <color rgb="FFE2F0DB"/>
      <color rgb="FFEC9F9B"/>
      <color rgb="FFC5F1BF"/>
      <color rgb="FFEAD781"/>
      <color rgb="FFB5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" Target="richData/rdrichvalue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00368771516181"/>
          <c:y val="7.4413845931064052E-2"/>
          <c:w val="0.69067557758694442"/>
          <c:h val="0.81651381623596841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5">
                  <a:shade val="33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4F4-2A41-AE52-018B2CD0C626}"/>
              </c:ext>
            </c:extLst>
          </c:dPt>
          <c:dPt>
            <c:idx val="1"/>
            <c:bubble3D val="0"/>
            <c:spPr>
              <a:solidFill>
                <a:schemeClr val="accent5">
                  <a:shade val="36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F4-2A41-AE52-018B2CD0C626}"/>
              </c:ext>
            </c:extLst>
          </c:dPt>
          <c:dPt>
            <c:idx val="2"/>
            <c:bubble3D val="0"/>
            <c:spPr>
              <a:solidFill>
                <a:schemeClr val="accent5">
                  <a:shade val="39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4F4-2A41-AE52-018B2CD0C626}"/>
              </c:ext>
            </c:extLst>
          </c:dPt>
          <c:dPt>
            <c:idx val="3"/>
            <c:bubble3D val="0"/>
            <c:spPr>
              <a:solidFill>
                <a:schemeClr val="accent5">
                  <a:shade val="42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4F4-2A41-AE52-018B2CD0C626}"/>
              </c:ext>
            </c:extLst>
          </c:dPt>
          <c:dPt>
            <c:idx val="4"/>
            <c:bubble3D val="0"/>
            <c:spPr>
              <a:solidFill>
                <a:schemeClr val="accent5">
                  <a:shade val="4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4F4-2A41-AE52-018B2CD0C626}"/>
              </c:ext>
            </c:extLst>
          </c:dPt>
          <c:dPt>
            <c:idx val="5"/>
            <c:bubble3D val="0"/>
            <c:spPr>
              <a:solidFill>
                <a:schemeClr val="accent5">
                  <a:shade val="49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4F4-2A41-AE52-018B2CD0C626}"/>
              </c:ext>
            </c:extLst>
          </c:dPt>
          <c:dPt>
            <c:idx val="6"/>
            <c:bubble3D val="0"/>
            <c:spPr>
              <a:solidFill>
                <a:schemeClr val="accent5">
                  <a:shade val="52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4F4-2A41-AE52-018B2CD0C626}"/>
              </c:ext>
            </c:extLst>
          </c:dPt>
          <c:dPt>
            <c:idx val="7"/>
            <c:bubble3D val="0"/>
            <c:spPr>
              <a:solidFill>
                <a:schemeClr val="accent5">
                  <a:shade val="5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4F4-2A41-AE52-018B2CD0C626}"/>
              </c:ext>
            </c:extLst>
          </c:dPt>
          <c:dPt>
            <c:idx val="8"/>
            <c:bubble3D val="0"/>
            <c:spPr>
              <a:solidFill>
                <a:schemeClr val="accent5">
                  <a:shade val="58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4F4-2A41-AE52-018B2CD0C626}"/>
              </c:ext>
            </c:extLst>
          </c:dPt>
          <c:dPt>
            <c:idx val="9"/>
            <c:bubble3D val="0"/>
            <c:spPr>
              <a:solidFill>
                <a:schemeClr val="accent5">
                  <a:shade val="61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4F4-2A41-AE52-018B2CD0C626}"/>
              </c:ext>
            </c:extLst>
          </c:dPt>
          <c:dPt>
            <c:idx val="10"/>
            <c:bubble3D val="0"/>
            <c:spPr>
              <a:solidFill>
                <a:schemeClr val="accent5">
                  <a:shade val="6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4F4-2A41-AE52-018B2CD0C626}"/>
              </c:ext>
            </c:extLst>
          </c:dPt>
          <c:dPt>
            <c:idx val="11"/>
            <c:bubble3D val="0"/>
            <c:spPr>
              <a:solidFill>
                <a:schemeClr val="accent5">
                  <a:shade val="68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4F4-2A41-AE52-018B2CD0C626}"/>
              </c:ext>
            </c:extLst>
          </c:dPt>
          <c:dPt>
            <c:idx val="12"/>
            <c:bubble3D val="0"/>
            <c:spPr>
              <a:solidFill>
                <a:schemeClr val="accent5">
                  <a:shade val="71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A4F4-2A41-AE52-018B2CD0C626}"/>
              </c:ext>
            </c:extLst>
          </c:dPt>
          <c:dPt>
            <c:idx val="13"/>
            <c:bubble3D val="0"/>
            <c:spPr>
              <a:solidFill>
                <a:schemeClr val="accent5">
                  <a:shade val="74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4F4-2A41-AE52-018B2CD0C626}"/>
              </c:ext>
            </c:extLst>
          </c:dPt>
          <c:dPt>
            <c:idx val="14"/>
            <c:bubble3D val="0"/>
            <c:spPr>
              <a:solidFill>
                <a:schemeClr val="accent5">
                  <a:shade val="77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A4F4-2A41-AE52-018B2CD0C626}"/>
              </c:ext>
            </c:extLst>
          </c:dPt>
          <c:dPt>
            <c:idx val="15"/>
            <c:bubble3D val="0"/>
            <c:spPr>
              <a:solidFill>
                <a:schemeClr val="accent5">
                  <a:shade val="8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A4F4-2A41-AE52-018B2CD0C626}"/>
              </c:ext>
            </c:extLst>
          </c:dPt>
          <c:dPt>
            <c:idx val="16"/>
            <c:bubble3D val="0"/>
            <c:spPr>
              <a:solidFill>
                <a:schemeClr val="accent5">
                  <a:shade val="84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A4F4-2A41-AE52-018B2CD0C626}"/>
              </c:ext>
            </c:extLst>
          </c:dPt>
          <c:dPt>
            <c:idx val="17"/>
            <c:bubble3D val="0"/>
            <c:spPr>
              <a:solidFill>
                <a:schemeClr val="accent5">
                  <a:shade val="87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A4F4-2A41-AE52-018B2CD0C626}"/>
              </c:ext>
            </c:extLst>
          </c:dPt>
          <c:dPt>
            <c:idx val="18"/>
            <c:bubble3D val="0"/>
            <c:spPr>
              <a:solidFill>
                <a:schemeClr val="accent5">
                  <a:shade val="9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A4F4-2A41-AE52-018B2CD0C626}"/>
              </c:ext>
            </c:extLst>
          </c:dPt>
          <c:dPt>
            <c:idx val="19"/>
            <c:bubble3D val="0"/>
            <c:spPr>
              <a:solidFill>
                <a:schemeClr val="accent5">
                  <a:shade val="93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A4F4-2A41-AE52-018B2CD0C626}"/>
              </c:ext>
            </c:extLst>
          </c:dPt>
          <c:dPt>
            <c:idx val="20"/>
            <c:bubble3D val="0"/>
            <c:spPr>
              <a:solidFill>
                <a:schemeClr val="accent5">
                  <a:shade val="96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A4F4-2A41-AE52-018B2CD0C626}"/>
              </c:ext>
            </c:extLst>
          </c:dPt>
          <c:dPt>
            <c:idx val="21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A4F4-2A41-AE52-018B2CD0C626}"/>
              </c:ext>
            </c:extLst>
          </c:dPt>
          <c:dPt>
            <c:idx val="22"/>
            <c:bubble3D val="0"/>
            <c:spPr>
              <a:solidFill>
                <a:schemeClr val="accent5">
                  <a:tint val="97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A4F4-2A41-AE52-018B2CD0C626}"/>
              </c:ext>
            </c:extLst>
          </c:dPt>
          <c:dPt>
            <c:idx val="23"/>
            <c:bubble3D val="0"/>
            <c:spPr>
              <a:solidFill>
                <a:schemeClr val="accent5">
                  <a:tint val="94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A4F4-2A41-AE52-018B2CD0C626}"/>
              </c:ext>
            </c:extLst>
          </c:dPt>
          <c:dPt>
            <c:idx val="24"/>
            <c:bubble3D val="0"/>
            <c:spPr>
              <a:solidFill>
                <a:schemeClr val="accent5">
                  <a:tint val="91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A4F4-2A41-AE52-018B2CD0C626}"/>
              </c:ext>
            </c:extLst>
          </c:dPt>
          <c:dPt>
            <c:idx val="25"/>
            <c:bubble3D val="0"/>
            <c:spPr>
              <a:solidFill>
                <a:schemeClr val="accent5">
                  <a:tint val="88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A4F4-2A41-AE52-018B2CD0C626}"/>
              </c:ext>
            </c:extLst>
          </c:dPt>
          <c:dPt>
            <c:idx val="26"/>
            <c:bubble3D val="0"/>
            <c:spPr>
              <a:solidFill>
                <a:schemeClr val="accent5">
                  <a:tint val="8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A4F4-2A41-AE52-018B2CD0C626}"/>
              </c:ext>
            </c:extLst>
          </c:dPt>
          <c:dPt>
            <c:idx val="27"/>
            <c:bubble3D val="0"/>
            <c:spPr>
              <a:solidFill>
                <a:schemeClr val="accent5">
                  <a:tint val="81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A4F4-2A41-AE52-018B2CD0C626}"/>
              </c:ext>
            </c:extLst>
          </c:dPt>
          <c:dPt>
            <c:idx val="28"/>
            <c:bubble3D val="0"/>
            <c:spPr>
              <a:solidFill>
                <a:schemeClr val="accent5">
                  <a:tint val="78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A4F4-2A41-AE52-018B2CD0C626}"/>
              </c:ext>
            </c:extLst>
          </c:dPt>
          <c:dPt>
            <c:idx val="29"/>
            <c:bubble3D val="0"/>
            <c:spPr>
              <a:solidFill>
                <a:schemeClr val="accent5">
                  <a:tint val="7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A4F4-2A41-AE52-018B2CD0C626}"/>
              </c:ext>
            </c:extLst>
          </c:dPt>
          <c:dPt>
            <c:idx val="30"/>
            <c:bubble3D val="0"/>
            <c:spPr>
              <a:solidFill>
                <a:schemeClr val="accent5">
                  <a:tint val="72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A4F4-2A41-AE52-018B2CD0C626}"/>
              </c:ext>
            </c:extLst>
          </c:dPt>
          <c:dPt>
            <c:idx val="31"/>
            <c:bubble3D val="0"/>
            <c:spPr>
              <a:solidFill>
                <a:schemeClr val="accent5">
                  <a:tint val="69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A4F4-2A41-AE52-018B2CD0C626}"/>
              </c:ext>
            </c:extLst>
          </c:dPt>
          <c:dPt>
            <c:idx val="32"/>
            <c:bubble3D val="0"/>
            <c:spPr>
              <a:solidFill>
                <a:schemeClr val="accent5">
                  <a:tint val="65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A4F4-2A41-AE52-018B2CD0C626}"/>
              </c:ext>
            </c:extLst>
          </c:dPt>
          <c:dPt>
            <c:idx val="33"/>
            <c:bubble3D val="0"/>
            <c:spPr>
              <a:solidFill>
                <a:schemeClr val="accent5">
                  <a:tint val="62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A4F4-2A41-AE52-018B2CD0C626}"/>
              </c:ext>
            </c:extLst>
          </c:dPt>
          <c:dPt>
            <c:idx val="34"/>
            <c:bubble3D val="0"/>
            <c:spPr>
              <a:solidFill>
                <a:schemeClr val="accent5">
                  <a:tint val="59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A4F4-2A41-AE52-018B2CD0C626}"/>
              </c:ext>
            </c:extLst>
          </c:dPt>
          <c:dPt>
            <c:idx val="35"/>
            <c:bubble3D val="0"/>
            <c:spPr>
              <a:solidFill>
                <a:schemeClr val="accent5">
                  <a:tint val="56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A4F4-2A41-AE52-018B2CD0C626}"/>
              </c:ext>
            </c:extLst>
          </c:dPt>
          <c:dPt>
            <c:idx val="36"/>
            <c:bubble3D val="0"/>
            <c:spPr>
              <a:solidFill>
                <a:schemeClr val="accent5">
                  <a:tint val="53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A4F4-2A41-AE52-018B2CD0C626}"/>
              </c:ext>
            </c:extLst>
          </c:dPt>
          <c:dPt>
            <c:idx val="37"/>
            <c:bubble3D val="0"/>
            <c:spPr>
              <a:solidFill>
                <a:schemeClr val="accent5">
                  <a:tint val="5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A4F4-2A41-AE52-018B2CD0C626}"/>
              </c:ext>
            </c:extLst>
          </c:dPt>
          <c:dPt>
            <c:idx val="38"/>
            <c:bubble3D val="0"/>
            <c:spPr>
              <a:solidFill>
                <a:schemeClr val="accent5">
                  <a:tint val="46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A4F4-2A41-AE52-018B2CD0C626}"/>
              </c:ext>
            </c:extLst>
          </c:dPt>
          <c:dPt>
            <c:idx val="39"/>
            <c:bubble3D val="0"/>
            <c:spPr>
              <a:solidFill>
                <a:schemeClr val="accent5">
                  <a:tint val="43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A4F4-2A41-AE52-018B2CD0C626}"/>
              </c:ext>
            </c:extLst>
          </c:dPt>
          <c:dPt>
            <c:idx val="40"/>
            <c:bubble3D val="0"/>
            <c:spPr>
              <a:solidFill>
                <a:schemeClr val="accent5">
                  <a:tint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A4F4-2A41-AE52-018B2CD0C626}"/>
              </c:ext>
            </c:extLst>
          </c:dPt>
          <c:dPt>
            <c:idx val="41"/>
            <c:bubble3D val="0"/>
            <c:spPr>
              <a:solidFill>
                <a:schemeClr val="accent5">
                  <a:tint val="37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A4F4-2A41-AE52-018B2CD0C626}"/>
              </c:ext>
            </c:extLst>
          </c:dPt>
          <c:dPt>
            <c:idx val="4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5-A4F4-2A41-AE52-018B2CD0C62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4-2A41-AE52-018B2CD0C62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4-2A41-AE52-018B2CD0C62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4-2A41-AE52-018B2CD0C62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4-2A41-AE52-018B2CD0C62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4-2A41-AE52-018B2CD0C62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F4-2A41-AE52-018B2CD0C62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F4-2A41-AE52-018B2CD0C62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F4-2A41-AE52-018B2CD0C62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F4-2A41-AE52-018B2CD0C62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F4-2A41-AE52-018B2CD0C62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F4-2A41-AE52-018B2CD0C62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F4-2A41-AE52-018B2CD0C62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F4-2A41-AE52-018B2CD0C62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F4-2A41-AE52-018B2CD0C626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F4-2A41-AE52-018B2CD0C626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F4-2A41-AE52-018B2CD0C626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F4-2A41-AE52-018B2CD0C626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F4-2A41-AE52-018B2CD0C626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F4-2A41-AE52-018B2CD0C626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F4-2A41-AE52-018B2CD0C626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F4-2A41-AE52-018B2CD0C626}"/>
                </c:ext>
              </c:extLst>
            </c:dLbl>
            <c:dLbl>
              <c:idx val="2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F4-2A41-AE52-018B2CD0C626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4F4-2A41-AE52-018B2CD0C626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4F4-2A41-AE52-018B2CD0C626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4F4-2A41-AE52-018B2CD0C626}"/>
                </c:ext>
              </c:extLst>
            </c:dLbl>
            <c:dLbl>
              <c:idx val="2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4F4-2A41-AE52-018B2CD0C626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4F4-2A41-AE52-018B2CD0C626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4F4-2A41-AE52-018B2CD0C626}"/>
                </c:ext>
              </c:extLst>
            </c:dLbl>
            <c:dLbl>
              <c:idx val="2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4F4-2A41-AE52-018B2CD0C626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4F4-2A41-AE52-018B2CD0C626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4F4-2A41-AE52-018B2CD0C626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4F4-2A41-AE52-018B2CD0C626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4F4-2A41-AE52-018B2CD0C626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4F4-2A41-AE52-018B2CD0C626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4F4-2A41-AE52-018B2CD0C626}"/>
                </c:ext>
              </c:extLst>
            </c:dLbl>
            <c:dLbl>
              <c:idx val="3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4F4-2A41-AE52-018B2CD0C626}"/>
                </c:ext>
              </c:extLst>
            </c:dLbl>
            <c:dLbl>
              <c:idx val="3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4F4-2A41-AE52-018B2CD0C626}"/>
                </c:ext>
              </c:extLst>
            </c:dLbl>
            <c:dLbl>
              <c:idx val="3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4F4-2A41-AE52-018B2CD0C626}"/>
                </c:ext>
              </c:extLst>
            </c:dLbl>
            <c:dLbl>
              <c:idx val="3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4F4-2A41-AE52-018B2CD0C626}"/>
                </c:ext>
              </c:extLst>
            </c:dLbl>
            <c:dLbl>
              <c:idx val="3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4F4-2A41-AE52-018B2CD0C626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4F4-2A41-AE52-018B2CD0C626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4F4-2A41-AE52-018B2CD0C626}"/>
                </c:ext>
              </c:extLst>
            </c:dLbl>
            <c:dLbl>
              <c:idx val="4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rtl="1">
                    <a:defRPr sz="18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4F4-2A41-AE52-018B2CD0C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1">
                  <a:defRPr sz="18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(תזרים!$B$17:$B$58,תזרים!$B$63)</c:f>
              <c:strCache>
                <c:ptCount val="43"/>
                <c:pt idx="0">
                  <c:v> אוכל </c:v>
                </c:pt>
                <c:pt idx="3">
                  <c:v>דיור</c:v>
                </c:pt>
                <c:pt idx="8">
                  <c:v>פנאי
ומותרות</c:v>
                </c:pt>
                <c:pt idx="13">
                  <c:v>רכבים</c:v>
                </c:pt>
                <c:pt idx="19">
                  <c:v>ילדים</c:v>
                </c:pt>
                <c:pt idx="26">
                  <c:v>חיות מחמד</c:v>
                </c:pt>
                <c:pt idx="29">
                  <c:v>טיפוח</c:v>
                </c:pt>
                <c:pt idx="33">
                  <c:v>מגורים</c:v>
                </c:pt>
                <c:pt idx="36">
                  <c:v>תקשורת</c:v>
                </c:pt>
                <c:pt idx="39">
                  <c:v>אחר</c:v>
                </c:pt>
                <c:pt idx="42">
                  <c:v>יתרה</c:v>
                </c:pt>
              </c:strCache>
            </c:strRef>
          </c:cat>
          <c:val>
            <c:numRef>
              <c:f>(תזרים!$E$17:$E$58,תזרים!$D$63)</c:f>
              <c:numCache>
                <c:formatCode>"₪"#,##0</c:formatCode>
                <c:ptCount val="43"/>
                <c:pt idx="0">
                  <c:v>300</c:v>
                </c:pt>
                <c:pt idx="3">
                  <c:v>500</c:v>
                </c:pt>
                <c:pt idx="8">
                  <c:v>500</c:v>
                </c:pt>
                <c:pt idx="13">
                  <c:v>600</c:v>
                </c:pt>
                <c:pt idx="19">
                  <c:v>700</c:v>
                </c:pt>
                <c:pt idx="26">
                  <c:v>300</c:v>
                </c:pt>
                <c:pt idx="29">
                  <c:v>400</c:v>
                </c:pt>
                <c:pt idx="33">
                  <c:v>300</c:v>
                </c:pt>
                <c:pt idx="36">
                  <c:v>300</c:v>
                </c:pt>
                <c:pt idx="39">
                  <c:v>300</c:v>
                </c:pt>
                <c:pt idx="42" formatCode="General">
                  <c:v>25500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A4F4-2A41-AE52-018B2CD0C62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612995402639498E-2"/>
          <c:y val="4.1347932100203447E-2"/>
          <c:w val="0.87196640523587066"/>
          <c:h val="0.756559081540981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מאזן!$B$2:$D$2</c:f>
              <c:strCache>
                <c:ptCount val="1"/>
                <c:pt idx="0">
                  <c:v>נכסים</c:v>
                </c:pt>
              </c:strCache>
            </c:strRef>
          </c:tx>
          <c:spPr>
            <a:gradFill>
              <a:gsLst>
                <a:gs pos="0">
                  <a:schemeClr val="accent6">
                    <a:lumMod val="60000"/>
                    <a:lumOff val="40000"/>
                  </a:schemeClr>
                </a:gs>
                <a:gs pos="39000">
                  <a:srgbClr val="CCE4BD"/>
                </a:gs>
                <a:gs pos="99000">
                  <a:schemeClr val="bg1"/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C0-B640-B7E6-2FA7132796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מאזן!$S$5:$S$12</c:f>
              <c:strCache>
                <c:ptCount val="8"/>
                <c:pt idx="0">
                  <c:v> נדל"ן
בארץ </c:v>
                </c:pt>
                <c:pt idx="1">
                  <c:v> נדל"ן
בחו"ל </c:v>
                </c:pt>
                <c:pt idx="2">
                  <c:v> עו"ש </c:v>
                </c:pt>
                <c:pt idx="3">
                  <c:v> תיקי
השקעה </c:v>
                </c:pt>
                <c:pt idx="4">
                  <c:v> רכבים </c:v>
                </c:pt>
                <c:pt idx="5">
                  <c:v>הלוואות
נוספות</c:v>
                </c:pt>
                <c:pt idx="6">
                  <c:v> ← </c:v>
                </c:pt>
                <c:pt idx="7">
                  <c:v>סה"כ</c:v>
                </c:pt>
              </c:strCache>
            </c:strRef>
          </c:cat>
          <c:val>
            <c:numRef>
              <c:f>מאזן!$Q$5:$Q$12</c:f>
              <c:numCache>
                <c:formatCode>"₪"#,##0</c:formatCode>
                <c:ptCount val="8"/>
                <c:pt idx="0">
                  <c:v>300000</c:v>
                </c:pt>
                <c:pt idx="1">
                  <c:v>200000</c:v>
                </c:pt>
                <c:pt idx="2">
                  <c:v>300000</c:v>
                </c:pt>
                <c:pt idx="3">
                  <c:v>500000</c:v>
                </c:pt>
                <c:pt idx="4">
                  <c:v>700000</c:v>
                </c:pt>
                <c:pt idx="6">
                  <c:v>0</c:v>
                </c:pt>
                <c:pt idx="7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7A4D-ACE3-8738187A4329}"/>
            </c:ext>
          </c:extLst>
        </c:ser>
        <c:ser>
          <c:idx val="1"/>
          <c:order val="1"/>
          <c:tx>
            <c:strRef>
              <c:f>מאזן!$H$2:$J$2</c:f>
              <c:strCache>
                <c:ptCount val="1"/>
                <c:pt idx="0">
                  <c:v>התחייבויות</c:v>
                </c:pt>
              </c:strCache>
            </c:strRef>
          </c:tx>
          <c:spPr>
            <a:gradFill>
              <a:gsLst>
                <a:gs pos="0">
                  <a:schemeClr val="bg1"/>
                </a:gs>
                <a:gs pos="18000">
                  <a:srgbClr val="FBEBEA"/>
                </a:gs>
                <a:gs pos="63000">
                  <a:srgbClr val="F2BEBA"/>
                </a:gs>
                <a:gs pos="100000">
                  <a:srgbClr val="EA8F94"/>
                </a:gs>
              </a:gsLst>
              <a:lin ang="5400000" scaled="1"/>
            </a:gradFill>
            <a:ln>
              <a:solidFill>
                <a:schemeClr val="tx1"/>
              </a:solidFill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EA8F94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560-7A4D-ACE3-8738187A4329}"/>
              </c:ext>
            </c:extLst>
          </c:dPt>
          <c:cat>
            <c:strRef>
              <c:f>מאזן!$S$5:$S$12</c:f>
              <c:strCache>
                <c:ptCount val="8"/>
                <c:pt idx="0">
                  <c:v> נדל"ן
בארץ </c:v>
                </c:pt>
                <c:pt idx="1">
                  <c:v> נדל"ן
בחו"ל </c:v>
                </c:pt>
                <c:pt idx="2">
                  <c:v> עו"ש </c:v>
                </c:pt>
                <c:pt idx="3">
                  <c:v> תיקי
השקעה </c:v>
                </c:pt>
                <c:pt idx="4">
                  <c:v> רכבים </c:v>
                </c:pt>
                <c:pt idx="5">
                  <c:v>הלוואות
נוספות</c:v>
                </c:pt>
                <c:pt idx="6">
                  <c:v> ← </c:v>
                </c:pt>
                <c:pt idx="7">
                  <c:v>סה"כ</c:v>
                </c:pt>
              </c:strCache>
            </c:strRef>
          </c:cat>
          <c:val>
            <c:numRef>
              <c:f>מאזן!$T$5:$T$12</c:f>
              <c:numCache>
                <c:formatCode>"₪"#,##0</c:formatCode>
                <c:ptCount val="8"/>
                <c:pt idx="0">
                  <c:v>-300000</c:v>
                </c:pt>
                <c:pt idx="1">
                  <c:v>-200000</c:v>
                </c:pt>
                <c:pt idx="2">
                  <c:v>-300000</c:v>
                </c:pt>
                <c:pt idx="3">
                  <c:v>-500000</c:v>
                </c:pt>
                <c:pt idx="4">
                  <c:v>-300000</c:v>
                </c:pt>
                <c:pt idx="5">
                  <c:v>-300000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0-7A4D-ACE3-8738187A4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20939647"/>
        <c:axId val="621336831"/>
      </c:barChart>
      <c:catAx>
        <c:axId val="620939647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21336831"/>
        <c:crosses val="autoZero"/>
        <c:auto val="0"/>
        <c:lblAlgn val="ctr"/>
        <c:lblOffset val="100"/>
        <c:noMultiLvlLbl val="0"/>
      </c:catAx>
      <c:valAx>
        <c:axId val="62133683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&quot;₪&quot;#,##0" sourceLinked="1"/>
        <c:majorTickMark val="out"/>
        <c:minorTickMark val="none"/>
        <c:tickLblPos val="nextTo"/>
        <c:spPr>
          <a:noFill/>
          <a:ln w="222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20939647"/>
        <c:crosses val="autoZero"/>
        <c:crossBetween val="between"/>
        <c:majorUnit val="200000"/>
        <c:minorUnit val="100000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117229</xdr:colOff>
      <xdr:row>15</xdr:row>
      <xdr:rowOff>254000</xdr:rowOff>
    </xdr:from>
    <xdr:to>
      <xdr:col>23</xdr:col>
      <xdr:colOff>15119</xdr:colOff>
      <xdr:row>46</xdr:row>
      <xdr:rowOff>127671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127E48D-617B-F54E-84CF-02192A08A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1818</xdr:col>
      <xdr:colOff>139942</xdr:colOff>
      <xdr:row>67</xdr:row>
      <xdr:rowOff>122115</xdr:rowOff>
    </xdr:from>
    <xdr:ext cx="4728306" cy="2479310"/>
    <xdr:pic>
      <xdr:nvPicPr>
        <xdr:cNvPr id="5" name="Picture 4">
          <a:extLst>
            <a:ext uri="{FF2B5EF4-FFF2-40B4-BE49-F238E27FC236}">
              <a16:creationId xmlns:a16="http://schemas.microsoft.com/office/drawing/2014/main" id="{8C5DA2F0-047E-A749-ACF3-D5905E492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9364752" y="13533315"/>
          <a:ext cx="4728306" cy="2479310"/>
        </a:xfrm>
        <a:prstGeom prst="rect">
          <a:avLst/>
        </a:prstGeom>
      </xdr:spPr>
    </xdr:pic>
    <xdr:clientData/>
  </xdr:oneCellAnchor>
  <xdr:oneCellAnchor>
    <xdr:from>
      <xdr:col>5</xdr:col>
      <xdr:colOff>138132</xdr:colOff>
      <xdr:row>1</xdr:row>
      <xdr:rowOff>117515</xdr:rowOff>
    </xdr:from>
    <xdr:ext cx="7168190" cy="3613453"/>
    <xdr:pic>
      <xdr:nvPicPr>
        <xdr:cNvPr id="7" name="Picture 6">
          <a:extLst>
            <a:ext uri="{FF2B5EF4-FFF2-40B4-BE49-F238E27FC236}">
              <a16:creationId xmlns:a16="http://schemas.microsoft.com/office/drawing/2014/main" id="{1E6735F5-78AC-FA4C-A141-FF73D527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5320951" y="276265"/>
          <a:ext cx="7168190" cy="36134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549275</xdr:colOff>
      <xdr:row>27</xdr:row>
      <xdr:rowOff>38100</xdr:rowOff>
    </xdr:from>
    <xdr:to>
      <xdr:col>11</xdr:col>
      <xdr:colOff>246063</xdr:colOff>
      <xdr:row>57</xdr:row>
      <xdr:rowOff>228600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5E86BA-AD19-5840-9992-635890B32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10583</xdr:colOff>
      <xdr:row>22</xdr:row>
      <xdr:rowOff>29633</xdr:rowOff>
    </xdr:from>
    <xdr:ext cx="4508500" cy="2272715"/>
    <xdr:pic>
      <xdr:nvPicPr>
        <xdr:cNvPr id="3" name="Picture 2">
          <a:extLst>
            <a:ext uri="{FF2B5EF4-FFF2-40B4-BE49-F238E27FC236}">
              <a16:creationId xmlns:a16="http://schemas.microsoft.com/office/drawing/2014/main" id="{96805A70-CA98-5C49-9934-19701A04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3323084" y="8655050"/>
          <a:ext cx="4508500" cy="227271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45720</xdr:colOff>
      <xdr:row>7</xdr:row>
      <xdr:rowOff>45720</xdr:rowOff>
    </xdr:from>
    <xdr:ext cx="2743200" cy="1320165"/>
    <xdr:pic>
      <xdr:nvPicPr>
        <xdr:cNvPr id="2" name="Logo"/>
        <xdr:cNvPicPr>
          <a:picLocks noChangeAspect="1" noMove="1" noSel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91440</xdr:colOff>
      <xdr:row>15</xdr:row>
      <xdr:rowOff>45720</xdr:rowOff>
    </xdr:from>
    <xdr:ext cx="2743200" cy="1320165"/>
    <xdr:pic>
      <xdr:nvPicPr>
        <xdr:cNvPr id="2" name="Logo"/>
        <xdr:cNvPicPr>
          <a:picLocks noChangeAspect="1" noMove="1" noSel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fb t="e">#NAME?</fb>
    <v>4</v>
    <v>1</v>
  </rv>
  <rv s="1">
    <fb t="e">#NAME?</fb>
    <v>4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C813F9-D455-481A-9D99-296C213890DF}" name="Table55" displayName="Table55" ref="N33:AF61" totalsRowShown="0" headerRowDxfId="49" dataDxfId="47" headerRowBorderDxfId="48" tableBorderDxfId="46" headerRowCellStyle="Normal 2 2 2" dataCellStyle="Comma 2">
  <autoFilter ref="N33:AF61" xr:uid="{99A324F1-3B32-4148-A66E-12F82B505AC2}"/>
  <tableColumns count="19">
    <tableColumn id="1" xr3:uid="{539BEBC4-002B-4096-A569-253E6E892975}" name="גיל פרישה" dataCellStyle="Normal 2 2 2"/>
    <tableColumn id="2" xr3:uid="{82E1F378-9B58-46F4-B737-171DAF0DB4B9}" name="1924" dataDxfId="45" dataCellStyle="Comma 2"/>
    <tableColumn id="3" xr3:uid="{4EF041A2-73C2-4DA1-A637-CFFC87DBFE5A}" name="1929" dataDxfId="44" dataCellStyle="Comma 2"/>
    <tableColumn id="4" xr3:uid="{DBF56E0E-614C-4FD7-B024-149C3499DCDB}" name="1934" dataDxfId="43" dataCellStyle="Comma 2"/>
    <tableColumn id="5" xr3:uid="{04C6168B-2A78-4C4D-842B-5A72A8D87ABB}" name="1939" dataDxfId="42" dataCellStyle="Comma 2"/>
    <tableColumn id="6" xr3:uid="{2876ABC0-5433-4273-A784-EDAEA6BDE5FC}" name="1944" dataDxfId="41" dataCellStyle="Comma 2"/>
    <tableColumn id="7" xr3:uid="{BFEF284C-1F45-48AC-AAA6-A31B973BC640}" name="1949" dataDxfId="40" dataCellStyle="Comma 2"/>
    <tableColumn id="8" xr3:uid="{B061B5F7-36DF-4282-A833-3A64FA893490}" name="1954" dataDxfId="39" dataCellStyle="Comma 2"/>
    <tableColumn id="9" xr3:uid="{E21DA52F-6179-45FA-BDFB-B057F496D483}" name="1959" dataDxfId="38" dataCellStyle="Comma 2"/>
    <tableColumn id="10" xr3:uid="{E8D6331C-1D16-4543-90DA-2A6694F4F829}" name="1964" dataDxfId="37" dataCellStyle="Comma 2"/>
    <tableColumn id="11" xr3:uid="{8888D3C9-A286-4EDF-9291-0EAC3B0BE04A}" name="1969" dataDxfId="36" dataCellStyle="Comma 2"/>
    <tableColumn id="12" xr3:uid="{0D7C75B7-1619-4D67-A0B9-8FC933137EE2}" name="1974" dataDxfId="35" dataCellStyle="Comma 2"/>
    <tableColumn id="13" xr3:uid="{373A5ADB-A2C9-4450-A7ED-C865D058474C}" name="1979" dataDxfId="34" dataCellStyle="Comma 2"/>
    <tableColumn id="14" xr3:uid="{1BA41970-6F38-457B-9E38-E7A72817B802}" name="1984" dataDxfId="33" dataCellStyle="Comma 2"/>
    <tableColumn id="15" xr3:uid="{BB7661C2-95C4-4130-A022-DF703CD0DEDC}" name="1989" dataDxfId="32" dataCellStyle="Comma 2"/>
    <tableColumn id="16" xr3:uid="{73D2ED91-3E84-43B1-A094-86D48343B7F7}" name="1994" dataDxfId="31" dataCellStyle="Comma 2"/>
    <tableColumn id="17" xr3:uid="{71BE365C-76A5-4705-871E-985582CC4229}" name="1999" dataDxfId="30" dataCellStyle="Comma 2"/>
    <tableColumn id="18" xr3:uid="{B12871A2-4901-4459-9CD8-051549C17774}" name="2004" dataDxfId="29" dataCellStyle="Comma 2"/>
    <tableColumn id="19" xr3:uid="{E117840F-C24D-4307-ACA5-771874B61D2F}" name="2009" dataDxfId="28" dataCellStyle="Comma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0FCBDD-B6A7-4080-9E53-FDBB33A085C9}" name="Table56" displayName="Table56" ref="N66:AF97" totalsRowShown="0" headerRowDxfId="27" dataDxfId="25" headerRowBorderDxfId="26" tableBorderDxfId="24" headerRowCellStyle="Normal 2 2 2" dataCellStyle="Comma 2">
  <autoFilter ref="N66:AF97" xr:uid="{E90F4C6B-7303-324E-A6E4-DFB601749AE9}"/>
  <tableColumns count="19">
    <tableColumn id="1" xr3:uid="{943BCA43-5096-4B64-B527-C2EFF89A79D8}" name="גיל פרישה" dataCellStyle="Normal 2 2 2"/>
    <tableColumn id="2" xr3:uid="{514B78D3-811D-4C49-948F-DA34296E57F6}" name="1924" dataDxfId="23" dataCellStyle="Comma 2"/>
    <tableColumn id="3" xr3:uid="{76AE4908-85D1-4E10-9CFA-7187D670F655}" name="1929" dataDxfId="22" dataCellStyle="Comma 2"/>
    <tableColumn id="4" xr3:uid="{5C20A162-7F38-4811-A88D-742D5BA1F804}" name="1934" dataDxfId="21" dataCellStyle="Comma 2"/>
    <tableColumn id="5" xr3:uid="{5A862834-C0C7-4EE5-9A0F-4FAED341CDEB}" name="1939" dataDxfId="20" dataCellStyle="Comma 2"/>
    <tableColumn id="6" xr3:uid="{DDA48E5A-67DD-4E95-8BF8-C921229E83CF}" name="1944" dataDxfId="19" dataCellStyle="Comma 2"/>
    <tableColumn id="7" xr3:uid="{D89E875A-FC95-457B-A0E4-2F2EBE851D72}" name="1949" dataDxfId="18" dataCellStyle="Comma 2"/>
    <tableColumn id="8" xr3:uid="{D4D842A4-C361-45F2-87E6-0E92788EA475}" name="1954" dataDxfId="17" dataCellStyle="Comma 2"/>
    <tableColumn id="9" xr3:uid="{290A2E6D-86D0-4498-93EE-A1015B6F777F}" name="1959" dataDxfId="16" dataCellStyle="Comma 2"/>
    <tableColumn id="10" xr3:uid="{E6695B79-3FC2-42CE-8CE9-01C3F0B4F804}" name="1964" dataDxfId="15" dataCellStyle="Comma 2"/>
    <tableColumn id="11" xr3:uid="{5B0F2B64-4A10-4FAA-B3EA-DE504A1119F2}" name="1969" dataDxfId="14" dataCellStyle="Comma 2"/>
    <tableColumn id="12" xr3:uid="{B5C8328F-9370-4FBF-9044-B335DD16EC83}" name="1974" dataDxfId="13" dataCellStyle="Comma 2"/>
    <tableColumn id="13" xr3:uid="{E983A41F-C383-44D4-AF8D-714E47ABC08C}" name="1979" dataDxfId="12" dataCellStyle="Comma 2"/>
    <tableColumn id="14" xr3:uid="{ADE61D79-294B-43B0-9AC2-8024A8776F09}" name="1984" dataDxfId="11" dataCellStyle="Comma 2"/>
    <tableColumn id="15" xr3:uid="{5026BA0F-0883-473B-83DF-CF3204B01C4F}" name="1989" dataDxfId="10" dataCellStyle="Comma 2"/>
    <tableColumn id="16" xr3:uid="{228D910B-32AC-4819-95F8-A0634880F00B}" name="1994" dataDxfId="9" dataCellStyle="Comma 2"/>
    <tableColumn id="17" xr3:uid="{8BC7EE02-C2A0-47C2-8E37-4AF287770B4E}" name="1999" dataDxfId="8" dataCellStyle="Comma 2"/>
    <tableColumn id="18" xr3:uid="{09BFDED4-878F-4828-81BD-ABAFDD46102A}" name="2004" dataDxfId="7" dataCellStyle="Comma 2"/>
    <tableColumn id="19" xr3:uid="{749AA862-1CEC-4178-BA4F-484306165EAB}" name="2009" dataDxfId="6" dataCellStyle="Comma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pensuni.com/?p=1762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9F3A-E6DD-A546-9A67-688E31B972E4}">
  <sheetPr codeName="Sheet1">
    <tabColor theme="8" tint="-0.249977111117893"/>
  </sheetPr>
  <dimension ref="B1:ALW77"/>
  <sheetViews>
    <sheetView rightToLeft="1" tabSelected="1" zoomScale="66" zoomScaleNormal="66" workbookViewId="0">
      <selection activeCell="D52" sqref="D52"/>
    </sheetView>
  </sheetViews>
  <sheetFormatPr defaultColWidth="10.77734375" defaultRowHeight="20.25"/>
  <cols>
    <col min="1" max="1" width="2.6640625" style="28" customWidth="1"/>
    <col min="2" max="2" width="19" style="31" customWidth="1"/>
    <col min="3" max="3" width="41.77734375" style="30" bestFit="1" customWidth="1"/>
    <col min="4" max="4" width="23" style="29" customWidth="1"/>
    <col min="5" max="5" width="23.77734375" style="29" customWidth="1"/>
    <col min="6" max="6" width="29" style="29" customWidth="1"/>
    <col min="7" max="7" width="22.44140625" style="29" customWidth="1"/>
    <col min="8" max="8" width="23.77734375" style="29" customWidth="1"/>
    <col min="9" max="13" width="12.44140625" style="29" customWidth="1"/>
    <col min="14" max="16384" width="10.77734375" style="28"/>
  </cols>
  <sheetData>
    <row r="1" spans="2:1011" ht="12" customHeight="1" thickBot="1">
      <c r="B1" s="64"/>
      <c r="C1" s="63"/>
      <c r="D1" s="62"/>
      <c r="E1" s="62"/>
      <c r="F1" s="62"/>
      <c r="G1" s="62"/>
      <c r="H1" s="62"/>
      <c r="I1" s="62"/>
      <c r="J1" s="62"/>
      <c r="K1" s="62"/>
      <c r="L1" s="62"/>
      <c r="M1" s="62"/>
      <c r="ALW1" s="61"/>
    </row>
    <row r="2" spans="2:1011" s="35" customFormat="1" ht="39.950000000000003" customHeight="1" thickBot="1">
      <c r="B2" s="243" t="s">
        <v>3</v>
      </c>
      <c r="C2" s="244"/>
      <c r="D2" s="38" t="s">
        <v>57</v>
      </c>
      <c r="E2" s="78" t="s">
        <v>58</v>
      </c>
      <c r="F2" s="60"/>
      <c r="G2" s="37"/>
      <c r="H2" s="37"/>
      <c r="I2" s="37"/>
      <c r="J2" s="37"/>
      <c r="K2" s="37"/>
      <c r="L2" s="37"/>
    </row>
    <row r="3" spans="2:1011" ht="21.95" customHeight="1">
      <c r="B3" s="245" t="s">
        <v>0</v>
      </c>
      <c r="C3" s="1" t="s">
        <v>103</v>
      </c>
      <c r="D3" s="69">
        <v>20000</v>
      </c>
      <c r="E3" s="79">
        <v>20000</v>
      </c>
      <c r="F3" s="59"/>
      <c r="G3" s="56"/>
      <c r="H3" s="56"/>
      <c r="I3" s="56"/>
      <c r="J3" s="56"/>
      <c r="K3" s="56"/>
      <c r="L3" s="56"/>
      <c r="M3" s="28"/>
    </row>
    <row r="4" spans="2:1011" ht="21.95" customHeight="1">
      <c r="B4" s="245"/>
      <c r="C4" s="1" t="s">
        <v>102</v>
      </c>
      <c r="D4" s="69">
        <v>10000</v>
      </c>
      <c r="E4" s="79">
        <v>10000</v>
      </c>
      <c r="F4" s="59"/>
      <c r="G4" s="56"/>
      <c r="H4" s="56"/>
      <c r="I4" s="56"/>
      <c r="J4" s="56"/>
      <c r="K4" s="56"/>
      <c r="L4" s="56"/>
      <c r="M4" s="28"/>
    </row>
    <row r="5" spans="2:1011" ht="21.95" customHeight="1">
      <c r="B5" s="245"/>
      <c r="C5" s="1" t="s">
        <v>34</v>
      </c>
      <c r="D5" s="69">
        <v>0</v>
      </c>
      <c r="E5" s="79">
        <v>0</v>
      </c>
      <c r="F5" s="59"/>
      <c r="G5" s="56"/>
      <c r="H5" s="56"/>
      <c r="I5" s="56"/>
      <c r="J5" s="56"/>
      <c r="K5" s="56"/>
      <c r="L5" s="56"/>
      <c r="M5" s="28"/>
    </row>
    <row r="6" spans="2:1011" ht="21.95" customHeight="1">
      <c r="B6" s="245"/>
      <c r="C6" s="1" t="s">
        <v>1</v>
      </c>
      <c r="D6" s="69">
        <v>0</v>
      </c>
      <c r="E6" s="79">
        <v>0</v>
      </c>
      <c r="F6" s="59"/>
      <c r="G6" s="56"/>
      <c r="H6" s="56"/>
      <c r="I6" s="56"/>
      <c r="J6" s="56"/>
      <c r="K6" s="56"/>
      <c r="L6" s="56"/>
      <c r="M6" s="28"/>
    </row>
    <row r="7" spans="2:1011" ht="48" customHeight="1" thickBot="1">
      <c r="B7" s="246"/>
      <c r="C7" s="58" t="s">
        <v>66</v>
      </c>
      <c r="D7" s="77">
        <f>SUM(D3:D6)</f>
        <v>30000</v>
      </c>
      <c r="E7" s="80">
        <f>SUM(E3:E6)</f>
        <v>30000</v>
      </c>
      <c r="F7" s="57"/>
      <c r="G7" s="56"/>
      <c r="H7" s="56"/>
      <c r="I7" s="56"/>
      <c r="J7" s="56"/>
      <c r="K7" s="56"/>
      <c r="L7" s="56"/>
      <c r="M7" s="28"/>
    </row>
    <row r="8" spans="2:1011" s="35" customFormat="1" ht="11.1" customHeight="1" thickBot="1">
      <c r="B8" s="55"/>
      <c r="C8" s="54"/>
      <c r="D8" s="54"/>
      <c r="E8" s="53"/>
      <c r="F8" s="40"/>
      <c r="G8" s="44"/>
      <c r="H8" s="44"/>
      <c r="I8" s="44"/>
      <c r="J8" s="44"/>
      <c r="K8" s="44"/>
      <c r="L8" s="44"/>
      <c r="M8" s="28"/>
      <c r="N8" s="28"/>
    </row>
    <row r="9" spans="2:1011" ht="27" customHeight="1">
      <c r="B9" s="250" t="s">
        <v>104</v>
      </c>
      <c r="C9" s="52" t="s">
        <v>61</v>
      </c>
      <c r="D9" s="69">
        <v>100</v>
      </c>
      <c r="E9" s="79">
        <v>100</v>
      </c>
      <c r="F9" s="49"/>
      <c r="G9" s="33"/>
      <c r="H9" s="33"/>
      <c r="I9" s="33"/>
      <c r="J9" s="33"/>
      <c r="K9" s="33"/>
      <c r="L9" s="33"/>
      <c r="M9" s="28"/>
    </row>
    <row r="10" spans="2:1011" ht="27" customHeight="1">
      <c r="B10" s="251"/>
      <c r="C10" s="51" t="s">
        <v>101</v>
      </c>
      <c r="D10" s="69">
        <v>100</v>
      </c>
      <c r="E10" s="79">
        <v>100</v>
      </c>
      <c r="F10" s="49"/>
      <c r="G10" s="33"/>
      <c r="H10" s="33"/>
      <c r="I10" s="33"/>
      <c r="J10" s="33"/>
      <c r="K10" s="33"/>
      <c r="L10" s="33"/>
      <c r="M10" s="28"/>
    </row>
    <row r="11" spans="2:1011" ht="27" customHeight="1">
      <c r="B11" s="245"/>
      <c r="C11" s="50" t="s">
        <v>100</v>
      </c>
      <c r="D11" s="69">
        <v>100</v>
      </c>
      <c r="E11" s="79">
        <v>100</v>
      </c>
      <c r="F11" s="49"/>
      <c r="G11" s="33"/>
      <c r="H11" s="33"/>
      <c r="I11" s="33"/>
      <c r="J11" s="33"/>
      <c r="K11" s="33"/>
      <c r="L11" s="33"/>
      <c r="M11" s="28"/>
    </row>
    <row r="12" spans="2:1011" ht="27" customHeight="1" thickBot="1">
      <c r="B12" s="246"/>
      <c r="C12" s="48" t="s">
        <v>2</v>
      </c>
      <c r="D12" s="77">
        <f>SUM(D9:D11)</f>
        <v>300</v>
      </c>
      <c r="E12" s="80">
        <f>SUM(E9:E11)</f>
        <v>300</v>
      </c>
      <c r="F12" s="41"/>
      <c r="G12" s="33"/>
      <c r="H12" s="33"/>
      <c r="I12" s="33"/>
      <c r="J12" s="33"/>
      <c r="K12" s="33"/>
      <c r="L12" s="33"/>
      <c r="M12" s="28"/>
    </row>
    <row r="13" spans="2:1011" ht="11.1" customHeight="1" thickBot="1">
      <c r="B13" s="47"/>
      <c r="C13" s="46"/>
      <c r="D13" s="46"/>
      <c r="E13" s="45"/>
      <c r="F13" s="40"/>
      <c r="G13" s="44"/>
      <c r="H13" s="44"/>
      <c r="I13" s="44"/>
      <c r="J13" s="44"/>
      <c r="K13" s="44"/>
      <c r="L13" s="44"/>
      <c r="M13" s="28"/>
    </row>
    <row r="14" spans="2:1011" s="39" customFormat="1" ht="27.75" thickBot="1">
      <c r="B14" s="43" t="s">
        <v>54</v>
      </c>
      <c r="C14" s="42" t="s">
        <v>4</v>
      </c>
      <c r="D14" s="81">
        <f>D7-D12</f>
        <v>29700</v>
      </c>
      <c r="E14" s="82">
        <f>E7-E12</f>
        <v>29700</v>
      </c>
      <c r="F14" s="41"/>
      <c r="G14" s="33"/>
      <c r="H14" s="33"/>
      <c r="I14" s="33"/>
      <c r="J14" s="33"/>
      <c r="K14" s="33"/>
      <c r="L14" s="33"/>
      <c r="M14" s="28"/>
      <c r="N14" s="28"/>
    </row>
    <row r="15" spans="2:1011" s="39" customFormat="1" ht="54" customHeight="1" thickBot="1">
      <c r="B15" s="40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2:1011" s="35" customFormat="1" ht="60.75" thickBot="1">
      <c r="B16" s="27"/>
      <c r="C16" s="83" t="s">
        <v>5</v>
      </c>
      <c r="D16" s="84" t="str">
        <f>D2</f>
        <v>לפני התהליך</v>
      </c>
      <c r="E16" s="84" t="s">
        <v>59</v>
      </c>
      <c r="F16" s="84" t="s">
        <v>99</v>
      </c>
      <c r="G16" s="84" t="str">
        <f>E2</f>
        <v>אחרי התהליך</v>
      </c>
      <c r="H16" s="85" t="s">
        <v>59</v>
      </c>
      <c r="I16" s="37"/>
      <c r="J16" s="37"/>
      <c r="K16" s="37"/>
      <c r="L16" s="37"/>
      <c r="M16" s="37"/>
      <c r="N16" s="28"/>
      <c r="O16" s="28"/>
    </row>
    <row r="17" spans="2:15" s="35" customFormat="1" ht="30" customHeight="1">
      <c r="B17" s="252" t="s">
        <v>6</v>
      </c>
      <c r="C17" s="65" t="s">
        <v>64</v>
      </c>
      <c r="D17" s="68">
        <v>100</v>
      </c>
      <c r="E17" s="236">
        <f>SUM(D17:D19)</f>
        <v>300</v>
      </c>
      <c r="F17" s="86">
        <v>0.1</v>
      </c>
      <c r="G17" s="68">
        <f t="shared" ref="G17:G58" si="0">(1-F17)*D17</f>
        <v>90</v>
      </c>
      <c r="H17" s="258">
        <f>SUM(G17:G19)</f>
        <v>290</v>
      </c>
      <c r="I17" s="33"/>
      <c r="J17" s="33"/>
      <c r="K17" s="33"/>
      <c r="L17" s="33"/>
      <c r="M17" s="36"/>
      <c r="N17" s="34"/>
    </row>
    <row r="18" spans="2:15" s="35" customFormat="1" ht="30" customHeight="1">
      <c r="B18" s="253"/>
      <c r="C18" s="66" t="s">
        <v>35</v>
      </c>
      <c r="D18" s="69">
        <v>100</v>
      </c>
      <c r="E18" s="237"/>
      <c r="F18" s="87">
        <v>0</v>
      </c>
      <c r="G18" s="69">
        <f t="shared" si="0"/>
        <v>100</v>
      </c>
      <c r="H18" s="259"/>
      <c r="I18" s="33"/>
      <c r="J18" s="33"/>
      <c r="K18" s="33"/>
      <c r="L18" s="33"/>
      <c r="M18" s="33"/>
      <c r="N18" s="36"/>
      <c r="O18" s="34"/>
    </row>
    <row r="19" spans="2:15" s="35" customFormat="1" ht="30" customHeight="1" thickBot="1">
      <c r="B19" s="254"/>
      <c r="C19" s="67" t="s">
        <v>63</v>
      </c>
      <c r="D19" s="70">
        <v>100</v>
      </c>
      <c r="E19" s="238"/>
      <c r="F19" s="88">
        <v>0</v>
      </c>
      <c r="G19" s="70">
        <f t="shared" si="0"/>
        <v>100</v>
      </c>
      <c r="H19" s="260"/>
      <c r="I19" s="33"/>
      <c r="J19" s="33"/>
      <c r="K19" s="33"/>
      <c r="L19" s="33"/>
      <c r="M19" s="33"/>
      <c r="N19" s="36"/>
      <c r="O19" s="34"/>
    </row>
    <row r="20" spans="2:15" ht="30" customHeight="1">
      <c r="B20" s="233" t="s">
        <v>26</v>
      </c>
      <c r="C20" s="65" t="s">
        <v>60</v>
      </c>
      <c r="D20" s="68">
        <v>100</v>
      </c>
      <c r="E20" s="247">
        <f>SUM(D20:D24)</f>
        <v>500</v>
      </c>
      <c r="F20" s="86">
        <v>0.2</v>
      </c>
      <c r="G20" s="68">
        <f t="shared" si="0"/>
        <v>80</v>
      </c>
      <c r="H20" s="255">
        <f>SUM(G20:G24)</f>
        <v>480</v>
      </c>
      <c r="I20" s="33"/>
      <c r="J20" s="33"/>
      <c r="K20" s="33"/>
      <c r="L20" s="33"/>
      <c r="M20" s="33"/>
      <c r="N20" s="34"/>
      <c r="O20" s="34"/>
    </row>
    <row r="21" spans="2:15" ht="30" customHeight="1">
      <c r="B21" s="234"/>
      <c r="C21" s="66" t="s">
        <v>7</v>
      </c>
      <c r="D21" s="69">
        <v>100</v>
      </c>
      <c r="E21" s="248"/>
      <c r="F21" s="87"/>
      <c r="G21" s="69">
        <f t="shared" si="0"/>
        <v>100</v>
      </c>
      <c r="H21" s="256"/>
      <c r="I21" s="33"/>
      <c r="J21" s="33"/>
      <c r="K21" s="33"/>
      <c r="L21" s="33"/>
      <c r="M21" s="33"/>
      <c r="N21" s="34"/>
      <c r="O21" s="34"/>
    </row>
    <row r="22" spans="2:15" ht="30" customHeight="1">
      <c r="B22" s="234"/>
      <c r="C22" s="66" t="s">
        <v>56</v>
      </c>
      <c r="D22" s="69">
        <v>100</v>
      </c>
      <c r="E22" s="248"/>
      <c r="F22" s="87">
        <v>0</v>
      </c>
      <c r="G22" s="69">
        <f t="shared" si="0"/>
        <v>100</v>
      </c>
      <c r="H22" s="256"/>
      <c r="I22" s="33"/>
      <c r="J22" s="33"/>
      <c r="K22" s="33"/>
      <c r="L22" s="33"/>
      <c r="M22" s="33"/>
      <c r="N22" s="34"/>
      <c r="O22" s="34"/>
    </row>
    <row r="23" spans="2:15" ht="30" customHeight="1">
      <c r="B23" s="234"/>
      <c r="C23" s="66" t="s">
        <v>8</v>
      </c>
      <c r="D23" s="69">
        <v>100</v>
      </c>
      <c r="E23" s="248"/>
      <c r="F23" s="87">
        <v>0</v>
      </c>
      <c r="G23" s="69">
        <f t="shared" si="0"/>
        <v>100</v>
      </c>
      <c r="H23" s="256"/>
      <c r="I23" s="33"/>
      <c r="J23" s="33"/>
      <c r="K23" s="33"/>
      <c r="L23" s="33"/>
      <c r="M23" s="33"/>
      <c r="N23" s="34"/>
      <c r="O23" s="34"/>
    </row>
    <row r="24" spans="2:15" ht="30" customHeight="1" thickBot="1">
      <c r="B24" s="235"/>
      <c r="C24" s="67" t="s">
        <v>55</v>
      </c>
      <c r="D24" s="70">
        <v>100</v>
      </c>
      <c r="E24" s="249"/>
      <c r="F24" s="88">
        <v>0</v>
      </c>
      <c r="G24" s="70">
        <f t="shared" si="0"/>
        <v>100</v>
      </c>
      <c r="H24" s="257"/>
      <c r="I24" s="33"/>
      <c r="J24" s="33"/>
      <c r="K24" s="33"/>
      <c r="L24" s="33"/>
      <c r="M24" s="33"/>
      <c r="N24" s="34"/>
      <c r="O24" s="34"/>
    </row>
    <row r="25" spans="2:15" ht="30" customHeight="1">
      <c r="B25" s="233" t="s">
        <v>32</v>
      </c>
      <c r="C25" s="65" t="s">
        <v>44</v>
      </c>
      <c r="D25" s="68">
        <v>100</v>
      </c>
      <c r="E25" s="236">
        <f>SUM(D25:D29)</f>
        <v>500</v>
      </c>
      <c r="F25" s="86">
        <v>0.3</v>
      </c>
      <c r="G25" s="68">
        <f t="shared" si="0"/>
        <v>70</v>
      </c>
      <c r="H25" s="258">
        <f>SUM(G25:G29)</f>
        <v>470</v>
      </c>
      <c r="I25" s="33"/>
      <c r="J25" s="33"/>
      <c r="K25" s="33"/>
      <c r="L25" s="33"/>
      <c r="M25" s="33"/>
    </row>
    <row r="26" spans="2:15" ht="30" customHeight="1">
      <c r="B26" s="234"/>
      <c r="C26" s="66" t="s">
        <v>47</v>
      </c>
      <c r="D26" s="69">
        <v>100</v>
      </c>
      <c r="E26" s="237"/>
      <c r="F26" s="87">
        <v>0</v>
      </c>
      <c r="G26" s="69">
        <f t="shared" si="0"/>
        <v>100</v>
      </c>
      <c r="H26" s="259"/>
      <c r="I26" s="33"/>
      <c r="J26" s="33"/>
      <c r="K26" s="33"/>
      <c r="L26" s="33"/>
      <c r="M26" s="33"/>
    </row>
    <row r="27" spans="2:15" ht="30" customHeight="1">
      <c r="B27" s="234"/>
      <c r="C27" s="66" t="s">
        <v>22</v>
      </c>
      <c r="D27" s="69">
        <v>100</v>
      </c>
      <c r="E27" s="237"/>
      <c r="F27" s="87">
        <v>0</v>
      </c>
      <c r="G27" s="69">
        <f t="shared" si="0"/>
        <v>100</v>
      </c>
      <c r="H27" s="259"/>
      <c r="I27" s="33"/>
      <c r="J27" s="33"/>
      <c r="K27" s="33"/>
      <c r="L27" s="33"/>
      <c r="M27" s="33"/>
    </row>
    <row r="28" spans="2:15" ht="30" customHeight="1">
      <c r="B28" s="234"/>
      <c r="C28" s="66" t="s">
        <v>46</v>
      </c>
      <c r="D28" s="69">
        <v>100</v>
      </c>
      <c r="E28" s="237"/>
      <c r="F28" s="87">
        <v>0</v>
      </c>
      <c r="G28" s="69">
        <f t="shared" si="0"/>
        <v>100</v>
      </c>
      <c r="H28" s="259"/>
      <c r="I28" s="33"/>
      <c r="J28" s="33"/>
      <c r="K28" s="33"/>
      <c r="L28" s="33"/>
      <c r="M28" s="33"/>
    </row>
    <row r="29" spans="2:15" ht="30" customHeight="1" thickBot="1">
      <c r="B29" s="235"/>
      <c r="C29" s="67" t="s">
        <v>33</v>
      </c>
      <c r="D29" s="70">
        <v>100</v>
      </c>
      <c r="E29" s="238"/>
      <c r="F29" s="88">
        <v>0</v>
      </c>
      <c r="G29" s="70">
        <f t="shared" si="0"/>
        <v>100</v>
      </c>
      <c r="H29" s="260"/>
      <c r="I29" s="33"/>
      <c r="J29" s="33"/>
      <c r="K29" s="33"/>
      <c r="L29" s="33"/>
      <c r="M29" s="33"/>
    </row>
    <row r="30" spans="2:15" ht="30" customHeight="1">
      <c r="B30" s="233" t="s">
        <v>30</v>
      </c>
      <c r="C30" s="65" t="s">
        <v>48</v>
      </c>
      <c r="D30" s="68">
        <v>100</v>
      </c>
      <c r="E30" s="236">
        <f>SUM(D30:D35)</f>
        <v>600</v>
      </c>
      <c r="F30" s="86">
        <v>0.4</v>
      </c>
      <c r="G30" s="68">
        <f t="shared" si="0"/>
        <v>60</v>
      </c>
      <c r="H30" s="258">
        <f>SUM(G30:G35)</f>
        <v>560</v>
      </c>
      <c r="I30" s="33"/>
      <c r="J30" s="33"/>
      <c r="K30" s="33"/>
      <c r="L30" s="33"/>
      <c r="M30" s="33"/>
    </row>
    <row r="31" spans="2:15" ht="30" customHeight="1">
      <c r="B31" s="234"/>
      <c r="C31" s="66" t="s">
        <v>49</v>
      </c>
      <c r="D31" s="69">
        <v>100</v>
      </c>
      <c r="E31" s="237"/>
      <c r="F31" s="87">
        <v>0</v>
      </c>
      <c r="G31" s="69">
        <f t="shared" si="0"/>
        <v>100</v>
      </c>
      <c r="H31" s="259"/>
      <c r="I31" s="33"/>
      <c r="J31" s="33"/>
      <c r="K31" s="33"/>
      <c r="L31" s="33"/>
      <c r="M31" s="33"/>
    </row>
    <row r="32" spans="2:15" ht="30" customHeight="1">
      <c r="B32" s="234"/>
      <c r="C32" s="66" t="s">
        <v>21</v>
      </c>
      <c r="D32" s="69">
        <v>100</v>
      </c>
      <c r="E32" s="237"/>
      <c r="F32" s="87"/>
      <c r="G32" s="69">
        <f t="shared" si="0"/>
        <v>100</v>
      </c>
      <c r="H32" s="259"/>
      <c r="I32" s="33"/>
      <c r="J32" s="33"/>
      <c r="K32" s="33"/>
      <c r="L32" s="33"/>
      <c r="M32" s="33"/>
    </row>
    <row r="33" spans="2:13" ht="30" customHeight="1">
      <c r="B33" s="234"/>
      <c r="C33" s="66" t="s">
        <v>37</v>
      </c>
      <c r="D33" s="69">
        <v>100</v>
      </c>
      <c r="E33" s="237"/>
      <c r="F33" s="87">
        <v>0</v>
      </c>
      <c r="G33" s="69">
        <f t="shared" si="0"/>
        <v>100</v>
      </c>
      <c r="H33" s="259"/>
      <c r="I33" s="33"/>
      <c r="J33" s="33"/>
      <c r="K33" s="33"/>
      <c r="L33" s="33"/>
      <c r="M33" s="33"/>
    </row>
    <row r="34" spans="2:13" ht="30" customHeight="1">
      <c r="B34" s="234"/>
      <c r="C34" s="66" t="s">
        <v>45</v>
      </c>
      <c r="D34" s="69">
        <v>100</v>
      </c>
      <c r="E34" s="237"/>
      <c r="F34" s="87">
        <v>0</v>
      </c>
      <c r="G34" s="69">
        <f t="shared" si="0"/>
        <v>100</v>
      </c>
      <c r="H34" s="259"/>
      <c r="I34" s="33"/>
      <c r="J34" s="33"/>
      <c r="K34" s="33"/>
      <c r="L34" s="33"/>
      <c r="M34" s="33"/>
    </row>
    <row r="35" spans="2:13" ht="30" customHeight="1" thickBot="1">
      <c r="B35" s="235"/>
      <c r="C35" s="67" t="s">
        <v>38</v>
      </c>
      <c r="D35" s="70">
        <v>100</v>
      </c>
      <c r="E35" s="238"/>
      <c r="F35" s="88">
        <v>0</v>
      </c>
      <c r="G35" s="70">
        <f t="shared" si="0"/>
        <v>100</v>
      </c>
      <c r="H35" s="260"/>
      <c r="I35" s="33"/>
      <c r="J35" s="33"/>
      <c r="K35" s="33"/>
      <c r="L35" s="33"/>
      <c r="M35" s="33"/>
    </row>
    <row r="36" spans="2:13" ht="30" customHeight="1">
      <c r="B36" s="233" t="s">
        <v>11</v>
      </c>
      <c r="C36" s="65" t="s">
        <v>36</v>
      </c>
      <c r="D36" s="68">
        <v>100</v>
      </c>
      <c r="E36" s="236">
        <f>SUM(D36:D42)</f>
        <v>700</v>
      </c>
      <c r="F36" s="86">
        <v>0.5</v>
      </c>
      <c r="G36" s="68">
        <f t="shared" si="0"/>
        <v>50</v>
      </c>
      <c r="H36" s="258">
        <f>SUM(G36:G42)</f>
        <v>650</v>
      </c>
      <c r="I36" s="33"/>
      <c r="J36" s="33"/>
      <c r="K36" s="33"/>
      <c r="L36" s="33"/>
      <c r="M36" s="33"/>
    </row>
    <row r="37" spans="2:13" ht="30" customHeight="1">
      <c r="B37" s="234"/>
      <c r="C37" s="66" t="s">
        <v>12</v>
      </c>
      <c r="D37" s="69">
        <v>100</v>
      </c>
      <c r="E37" s="237"/>
      <c r="F37" s="87">
        <v>0</v>
      </c>
      <c r="G37" s="69">
        <f t="shared" si="0"/>
        <v>100</v>
      </c>
      <c r="H37" s="259"/>
      <c r="I37" s="33"/>
      <c r="J37" s="33"/>
      <c r="K37" s="33"/>
      <c r="L37" s="33"/>
      <c r="M37" s="33"/>
    </row>
    <row r="38" spans="2:13" ht="30" customHeight="1">
      <c r="B38" s="234"/>
      <c r="C38" s="66" t="s">
        <v>14</v>
      </c>
      <c r="D38" s="69">
        <v>100</v>
      </c>
      <c r="E38" s="237"/>
      <c r="F38" s="87">
        <v>0</v>
      </c>
      <c r="G38" s="69">
        <f t="shared" si="0"/>
        <v>100</v>
      </c>
      <c r="H38" s="259"/>
      <c r="I38" s="33"/>
      <c r="J38" s="33"/>
      <c r="K38" s="33"/>
      <c r="L38" s="33"/>
      <c r="M38" s="33"/>
    </row>
    <row r="39" spans="2:13" ht="30" customHeight="1">
      <c r="B39" s="234"/>
      <c r="C39" s="66" t="s">
        <v>13</v>
      </c>
      <c r="D39" s="69">
        <v>100</v>
      </c>
      <c r="E39" s="237"/>
      <c r="F39" s="87">
        <v>0</v>
      </c>
      <c r="G39" s="69">
        <f t="shared" si="0"/>
        <v>100</v>
      </c>
      <c r="H39" s="259"/>
      <c r="I39" s="33"/>
      <c r="J39" s="33"/>
      <c r="K39" s="33"/>
      <c r="L39" s="33"/>
      <c r="M39" s="33"/>
    </row>
    <row r="40" spans="2:13" ht="30" customHeight="1">
      <c r="B40" s="234"/>
      <c r="C40" s="66" t="s">
        <v>15</v>
      </c>
      <c r="D40" s="69">
        <v>100</v>
      </c>
      <c r="E40" s="237"/>
      <c r="F40" s="87">
        <v>0</v>
      </c>
      <c r="G40" s="69">
        <f t="shared" si="0"/>
        <v>100</v>
      </c>
      <c r="H40" s="259"/>
      <c r="I40" s="33"/>
      <c r="J40" s="33"/>
      <c r="K40" s="33"/>
      <c r="L40" s="33"/>
      <c r="M40" s="33"/>
    </row>
    <row r="41" spans="2:13" ht="30" customHeight="1">
      <c r="B41" s="234"/>
      <c r="C41" s="66" t="s">
        <v>18</v>
      </c>
      <c r="D41" s="69">
        <v>100</v>
      </c>
      <c r="E41" s="237"/>
      <c r="F41" s="87">
        <v>0</v>
      </c>
      <c r="G41" s="69">
        <f t="shared" si="0"/>
        <v>100</v>
      </c>
      <c r="H41" s="259"/>
      <c r="I41" s="33"/>
      <c r="J41" s="33"/>
      <c r="K41" s="33"/>
      <c r="L41" s="33"/>
      <c r="M41" s="33"/>
    </row>
    <row r="42" spans="2:13" ht="30" customHeight="1" thickBot="1">
      <c r="B42" s="235"/>
      <c r="C42" s="67" t="s">
        <v>16</v>
      </c>
      <c r="D42" s="70">
        <v>100</v>
      </c>
      <c r="E42" s="238"/>
      <c r="F42" s="88">
        <v>0</v>
      </c>
      <c r="G42" s="70">
        <f t="shared" si="0"/>
        <v>100</v>
      </c>
      <c r="H42" s="260"/>
      <c r="I42" s="33"/>
      <c r="J42" s="33"/>
      <c r="K42" s="33"/>
      <c r="L42" s="33"/>
      <c r="M42" s="33"/>
    </row>
    <row r="43" spans="2:13" ht="30" customHeight="1">
      <c r="B43" s="233" t="s">
        <v>28</v>
      </c>
      <c r="C43" s="65" t="s">
        <v>6</v>
      </c>
      <c r="D43" s="68">
        <v>100</v>
      </c>
      <c r="E43" s="236">
        <f>SUM(D43:D45)</f>
        <v>300</v>
      </c>
      <c r="F43" s="86">
        <v>0.6</v>
      </c>
      <c r="G43" s="68">
        <f t="shared" si="0"/>
        <v>40</v>
      </c>
      <c r="H43" s="255">
        <f>SUM(G43:G45)</f>
        <v>240</v>
      </c>
      <c r="I43" s="33"/>
      <c r="J43" s="33"/>
      <c r="K43" s="33"/>
      <c r="L43" s="33"/>
      <c r="M43" s="33"/>
    </row>
    <row r="44" spans="2:13" ht="30" customHeight="1">
      <c r="B44" s="234"/>
      <c r="C44" s="66" t="s">
        <v>29</v>
      </c>
      <c r="D44" s="69">
        <v>100</v>
      </c>
      <c r="E44" s="237"/>
      <c r="F44" s="87">
        <v>0</v>
      </c>
      <c r="G44" s="69">
        <f t="shared" si="0"/>
        <v>100</v>
      </c>
      <c r="H44" s="256"/>
      <c r="I44" s="33"/>
      <c r="J44" s="33"/>
      <c r="K44" s="33"/>
      <c r="L44" s="33"/>
      <c r="M44" s="33"/>
    </row>
    <row r="45" spans="2:13" ht="30" customHeight="1" thickBot="1">
      <c r="B45" s="235"/>
      <c r="C45" s="67" t="s">
        <v>39</v>
      </c>
      <c r="D45" s="70">
        <v>100</v>
      </c>
      <c r="E45" s="238"/>
      <c r="F45" s="88">
        <v>0</v>
      </c>
      <c r="G45" s="70">
        <f t="shared" si="0"/>
        <v>100</v>
      </c>
      <c r="H45" s="257"/>
      <c r="I45" s="33"/>
      <c r="J45" s="33"/>
      <c r="K45" s="33"/>
      <c r="L45" s="33"/>
      <c r="M45" s="33"/>
    </row>
    <row r="46" spans="2:13" ht="30" customHeight="1">
      <c r="B46" s="233" t="s">
        <v>17</v>
      </c>
      <c r="C46" s="65" t="s">
        <v>18</v>
      </c>
      <c r="D46" s="68">
        <v>100</v>
      </c>
      <c r="E46" s="236">
        <f>SUM(D46:D49)</f>
        <v>400</v>
      </c>
      <c r="F46" s="86">
        <v>1</v>
      </c>
      <c r="G46" s="68">
        <f t="shared" si="0"/>
        <v>0</v>
      </c>
      <c r="H46" s="258">
        <f>SUM(G46:G49)</f>
        <v>300</v>
      </c>
      <c r="I46" s="33"/>
      <c r="J46" s="33"/>
      <c r="K46" s="33"/>
      <c r="L46" s="33"/>
      <c r="M46" s="33"/>
    </row>
    <row r="47" spans="2:13" ht="30" customHeight="1">
      <c r="B47" s="234"/>
      <c r="C47" s="66" t="s">
        <v>19</v>
      </c>
      <c r="D47" s="69">
        <v>100</v>
      </c>
      <c r="E47" s="237"/>
      <c r="F47" s="87">
        <v>0</v>
      </c>
      <c r="G47" s="69">
        <f t="shared" si="0"/>
        <v>100</v>
      </c>
      <c r="H47" s="259"/>
      <c r="I47" s="33"/>
      <c r="J47" s="33"/>
      <c r="K47" s="33"/>
      <c r="L47" s="33"/>
      <c r="M47" s="33"/>
    </row>
    <row r="48" spans="2:13" ht="30" customHeight="1">
      <c r="B48" s="234"/>
      <c r="C48" s="66" t="s">
        <v>20</v>
      </c>
      <c r="D48" s="69">
        <v>100</v>
      </c>
      <c r="E48" s="237"/>
      <c r="F48" s="87">
        <v>0</v>
      </c>
      <c r="G48" s="69">
        <f t="shared" si="0"/>
        <v>100</v>
      </c>
      <c r="H48" s="259"/>
      <c r="I48" s="33"/>
      <c r="J48" s="33"/>
      <c r="K48" s="33"/>
      <c r="L48" s="33"/>
      <c r="M48" s="33"/>
    </row>
    <row r="49" spans="2:13" ht="30" customHeight="1" thickBot="1">
      <c r="B49" s="235"/>
      <c r="C49" s="67" t="s">
        <v>40</v>
      </c>
      <c r="D49" s="71">
        <v>100</v>
      </c>
      <c r="E49" s="239"/>
      <c r="F49" s="88">
        <v>0</v>
      </c>
      <c r="G49" s="71">
        <f t="shared" si="0"/>
        <v>100</v>
      </c>
      <c r="H49" s="264"/>
      <c r="I49" s="33"/>
      <c r="J49" s="33"/>
      <c r="K49" s="33"/>
      <c r="L49" s="33"/>
      <c r="M49" s="33"/>
    </row>
    <row r="50" spans="2:13" ht="30" customHeight="1">
      <c r="B50" s="233" t="s">
        <v>53</v>
      </c>
      <c r="C50" s="65" t="s">
        <v>50</v>
      </c>
      <c r="D50" s="68">
        <v>100</v>
      </c>
      <c r="E50" s="236">
        <f>SUM(D50:D52)</f>
        <v>300</v>
      </c>
      <c r="F50" s="86">
        <v>0.8</v>
      </c>
      <c r="G50" s="68">
        <f t="shared" si="0"/>
        <v>19.999999999999996</v>
      </c>
      <c r="H50" s="258">
        <f>SUM(G50:G52)</f>
        <v>220</v>
      </c>
      <c r="I50" s="33"/>
      <c r="J50" s="33"/>
      <c r="K50" s="33"/>
      <c r="L50" s="33"/>
      <c r="M50" s="33"/>
    </row>
    <row r="51" spans="2:13" ht="30" customHeight="1">
      <c r="B51" s="234"/>
      <c r="C51" s="66" t="s">
        <v>10</v>
      </c>
      <c r="D51" s="69">
        <v>100</v>
      </c>
      <c r="E51" s="237"/>
      <c r="F51" s="87">
        <v>0</v>
      </c>
      <c r="G51" s="69">
        <f t="shared" si="0"/>
        <v>100</v>
      </c>
      <c r="H51" s="259"/>
      <c r="I51" s="33"/>
      <c r="J51" s="33"/>
      <c r="K51" s="33"/>
      <c r="L51" s="33"/>
      <c r="M51" s="33"/>
    </row>
    <row r="52" spans="2:13" ht="30" customHeight="1" thickBot="1">
      <c r="B52" s="235"/>
      <c r="C52" s="67" t="s">
        <v>31</v>
      </c>
      <c r="D52" s="70">
        <v>100</v>
      </c>
      <c r="E52" s="238"/>
      <c r="F52" s="88">
        <v>0</v>
      </c>
      <c r="G52" s="70">
        <f t="shared" si="0"/>
        <v>100</v>
      </c>
      <c r="H52" s="260"/>
      <c r="I52" s="33"/>
      <c r="J52" s="33"/>
      <c r="K52" s="33"/>
      <c r="L52" s="33"/>
      <c r="M52" s="33"/>
    </row>
    <row r="53" spans="2:13" ht="30" customHeight="1">
      <c r="B53" s="233" t="s">
        <v>9</v>
      </c>
      <c r="C53" s="65" t="s">
        <v>41</v>
      </c>
      <c r="D53" s="68">
        <v>100</v>
      </c>
      <c r="E53" s="236">
        <f>SUM(D53:D55)</f>
        <v>300</v>
      </c>
      <c r="F53" s="86">
        <v>0.9</v>
      </c>
      <c r="G53" s="68">
        <f t="shared" si="0"/>
        <v>9.9999999999999982</v>
      </c>
      <c r="H53" s="258">
        <f>SUM(G53:G55)</f>
        <v>210</v>
      </c>
      <c r="I53" s="33"/>
      <c r="J53" s="33"/>
      <c r="K53" s="33"/>
      <c r="L53" s="33"/>
      <c r="M53" s="33"/>
    </row>
    <row r="54" spans="2:13" ht="30" customHeight="1">
      <c r="B54" s="234"/>
      <c r="C54" s="66" t="s">
        <v>42</v>
      </c>
      <c r="D54" s="69">
        <v>100</v>
      </c>
      <c r="E54" s="237"/>
      <c r="F54" s="87">
        <v>0</v>
      </c>
      <c r="G54" s="69">
        <f t="shared" si="0"/>
        <v>100</v>
      </c>
      <c r="H54" s="259"/>
      <c r="I54" s="33"/>
      <c r="J54" s="33"/>
      <c r="K54" s="33"/>
      <c r="L54" s="33"/>
      <c r="M54" s="33"/>
    </row>
    <row r="55" spans="2:13" ht="30" customHeight="1" thickBot="1">
      <c r="B55" s="235"/>
      <c r="C55" s="67" t="s">
        <v>43</v>
      </c>
      <c r="D55" s="70">
        <v>100</v>
      </c>
      <c r="E55" s="238"/>
      <c r="F55" s="88">
        <v>0</v>
      </c>
      <c r="G55" s="70">
        <f t="shared" si="0"/>
        <v>100</v>
      </c>
      <c r="H55" s="260"/>
      <c r="I55" s="33"/>
      <c r="J55" s="33"/>
      <c r="K55" s="33"/>
      <c r="L55" s="33"/>
      <c r="M55" s="33"/>
    </row>
    <row r="56" spans="2:13" ht="30" customHeight="1">
      <c r="B56" s="233" t="s">
        <v>27</v>
      </c>
      <c r="C56" s="65" t="s">
        <v>23</v>
      </c>
      <c r="D56" s="68">
        <v>100</v>
      </c>
      <c r="E56" s="236">
        <f>SUM(D56:D58)</f>
        <v>300</v>
      </c>
      <c r="F56" s="86">
        <v>1</v>
      </c>
      <c r="G56" s="68">
        <f t="shared" si="0"/>
        <v>0</v>
      </c>
      <c r="H56" s="258">
        <f>SUM(G56:G58)</f>
        <v>200</v>
      </c>
      <c r="I56" s="33"/>
      <c r="J56" s="33"/>
      <c r="K56" s="33"/>
      <c r="L56" s="33"/>
      <c r="M56" s="33"/>
    </row>
    <row r="57" spans="2:13" ht="30" customHeight="1">
      <c r="B57" s="234"/>
      <c r="C57" s="66" t="s">
        <v>24</v>
      </c>
      <c r="D57" s="69">
        <v>100</v>
      </c>
      <c r="E57" s="237"/>
      <c r="F57" s="87">
        <v>0</v>
      </c>
      <c r="G57" s="69">
        <f t="shared" si="0"/>
        <v>100</v>
      </c>
      <c r="H57" s="259"/>
      <c r="I57" s="33"/>
      <c r="J57" s="33"/>
      <c r="K57" s="33"/>
      <c r="L57" s="33"/>
      <c r="M57" s="33"/>
    </row>
    <row r="58" spans="2:13" ht="30" customHeight="1" thickBot="1">
      <c r="B58" s="235"/>
      <c r="C58" s="67" t="s">
        <v>65</v>
      </c>
      <c r="D58" s="71">
        <v>100</v>
      </c>
      <c r="E58" s="239"/>
      <c r="F58" s="88">
        <v>0</v>
      </c>
      <c r="G58" s="71">
        <f t="shared" si="0"/>
        <v>100</v>
      </c>
      <c r="H58" s="264"/>
      <c r="I58" s="33"/>
      <c r="J58" s="33"/>
      <c r="K58" s="33"/>
      <c r="L58" s="33"/>
      <c r="M58" s="33"/>
    </row>
    <row r="59" spans="2:13" ht="30" customHeight="1" thickBot="1">
      <c r="B59" s="229" t="s">
        <v>54</v>
      </c>
      <c r="C59" s="74" t="s">
        <v>97</v>
      </c>
      <c r="D59" s="73">
        <f>D7</f>
        <v>30000</v>
      </c>
      <c r="E59" s="240" t="s">
        <v>51</v>
      </c>
      <c r="F59" s="89"/>
      <c r="G59" s="73">
        <f>E7</f>
        <v>30000</v>
      </c>
      <c r="H59" s="261" t="s">
        <v>51</v>
      </c>
      <c r="I59" s="33"/>
      <c r="J59" s="33"/>
      <c r="K59" s="33"/>
      <c r="L59" s="33"/>
      <c r="M59" s="33"/>
    </row>
    <row r="60" spans="2:13" ht="30" customHeight="1">
      <c r="B60" s="230"/>
      <c r="C60" s="74" t="s">
        <v>25</v>
      </c>
      <c r="D60" s="73">
        <f>SUM(D17:D58)</f>
        <v>4200</v>
      </c>
      <c r="E60" s="241"/>
      <c r="F60" s="90"/>
      <c r="G60" s="93">
        <f>SUM(G17:G58)</f>
        <v>3620</v>
      </c>
      <c r="H60" s="262"/>
      <c r="I60" s="33"/>
      <c r="J60" s="33"/>
      <c r="K60" s="33"/>
      <c r="L60" s="33"/>
      <c r="M60" s="33"/>
    </row>
    <row r="61" spans="2:13" ht="30" customHeight="1">
      <c r="B61" s="230"/>
      <c r="C61" s="92" t="s">
        <v>105</v>
      </c>
      <c r="D61" s="93">
        <f>D12</f>
        <v>300</v>
      </c>
      <c r="E61" s="241"/>
      <c r="F61" s="90"/>
      <c r="G61" s="93">
        <f>E12</f>
        <v>300</v>
      </c>
      <c r="H61" s="262"/>
      <c r="I61" s="33"/>
      <c r="J61" s="33"/>
      <c r="K61" s="33"/>
      <c r="L61" s="33"/>
      <c r="M61" s="33"/>
    </row>
    <row r="62" spans="2:13" ht="30" customHeight="1">
      <c r="B62" s="231"/>
      <c r="C62" s="75" t="s">
        <v>98</v>
      </c>
      <c r="D62" s="72">
        <f>SUM(D60+D61)</f>
        <v>4500</v>
      </c>
      <c r="E62" s="241"/>
      <c r="F62" s="90"/>
      <c r="G62" s="72">
        <f>SUM(G60+G61)</f>
        <v>3920</v>
      </c>
      <c r="H62" s="262"/>
      <c r="I62" s="33"/>
      <c r="J62" s="33"/>
      <c r="K62" s="33"/>
      <c r="L62" s="33"/>
      <c r="M62" s="33"/>
    </row>
    <row r="63" spans="2:13" ht="30" customHeight="1" thickBot="1">
      <c r="B63" s="232" t="s">
        <v>52</v>
      </c>
      <c r="C63" s="76" t="s">
        <v>62</v>
      </c>
      <c r="D63" s="99">
        <f>D59-D62</f>
        <v>25500</v>
      </c>
      <c r="E63" s="242"/>
      <c r="F63" s="91"/>
      <c r="G63" s="99">
        <f>G59-G62</f>
        <v>26080</v>
      </c>
      <c r="H63" s="263"/>
      <c r="I63" s="33"/>
      <c r="J63" s="33"/>
      <c r="K63" s="33"/>
      <c r="L63" s="33"/>
      <c r="M63" s="33"/>
    </row>
    <row r="64" spans="2:13" ht="20.100000000000001" customHeight="1">
      <c r="B64" s="32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2:13" ht="20.100000000000001" customHeight="1">
      <c r="B65" s="32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2:13" ht="20.100000000000001" customHeight="1">
      <c r="B66" s="32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2:13" ht="20.100000000000001" customHeight="1">
      <c r="B67" s="32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9" spans="2:13">
      <c r="F69" s="28"/>
    </row>
    <row r="70" spans="2:13" ht="1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2:13" ht="1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2:13" ht="1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2:13" ht="15">
      <c r="B73" s="28"/>
      <c r="C73" s="28"/>
      <c r="D73" s="28"/>
      <c r="E73" s="28"/>
      <c r="G73" s="28"/>
      <c r="H73" s="28"/>
      <c r="I73" s="28"/>
      <c r="J73" s="28"/>
      <c r="K73" s="28"/>
      <c r="L73" s="28"/>
      <c r="M73" s="28"/>
    </row>
    <row r="74" spans="2:13">
      <c r="F74" s="28"/>
    </row>
    <row r="75" spans="2:13" ht="1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2:13" ht="1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2:13" ht="15">
      <c r="B77" s="28"/>
      <c r="C77" s="28"/>
      <c r="D77" s="28"/>
      <c r="E77" s="28"/>
      <c r="G77" s="28"/>
      <c r="H77" s="28"/>
      <c r="I77" s="28"/>
      <c r="J77" s="28"/>
      <c r="K77" s="28"/>
      <c r="L77" s="28"/>
      <c r="M77" s="28"/>
    </row>
  </sheetData>
  <sheetProtection sheet="1" objects="1" formatCells="0" formatColumns="0" formatRows="0" insertColumns="0" insertRows="0" deleteColumns="0" deleteRows="0" sort="0" autoFilter="0"/>
  <sortState xmlns:xlrd2="http://schemas.microsoft.com/office/spreadsheetml/2017/richdata2" ref="C32:D36">
    <sortCondition descending="1" ref="D36"/>
  </sortState>
  <mergeCells count="36">
    <mergeCell ref="H59:H63"/>
    <mergeCell ref="H46:H49"/>
    <mergeCell ref="H50:H52"/>
    <mergeCell ref="H53:H55"/>
    <mergeCell ref="H56:H58"/>
    <mergeCell ref="E30:E35"/>
    <mergeCell ref="B9:B12"/>
    <mergeCell ref="B17:B19"/>
    <mergeCell ref="B20:B24"/>
    <mergeCell ref="H43:H45"/>
    <mergeCell ref="H17:H19"/>
    <mergeCell ref="H20:H24"/>
    <mergeCell ref="H25:H29"/>
    <mergeCell ref="H30:H35"/>
    <mergeCell ref="H36:H42"/>
    <mergeCell ref="B2:C2"/>
    <mergeCell ref="B3:B7"/>
    <mergeCell ref="E17:E19"/>
    <mergeCell ref="E20:E24"/>
    <mergeCell ref="E25:E29"/>
    <mergeCell ref="B59:B63"/>
    <mergeCell ref="B30:B35"/>
    <mergeCell ref="B25:B29"/>
    <mergeCell ref="E36:E42"/>
    <mergeCell ref="E56:E58"/>
    <mergeCell ref="B56:B58"/>
    <mergeCell ref="B53:B55"/>
    <mergeCell ref="B50:B52"/>
    <mergeCell ref="B36:B42"/>
    <mergeCell ref="B46:B49"/>
    <mergeCell ref="B43:B45"/>
    <mergeCell ref="E59:E63"/>
    <mergeCell ref="E43:E45"/>
    <mergeCell ref="E46:E49"/>
    <mergeCell ref="E50:E52"/>
    <mergeCell ref="E53:E55"/>
  </mergeCells>
  <conditionalFormatting sqref="D63">
    <cfRule type="cellIs" dxfId="5" priority="1" operator="lessThan">
      <formula>0</formula>
    </cfRule>
    <cfRule type="cellIs" dxfId="4" priority="2" operator="greaterThan">
      <formula>0</formula>
    </cfRule>
  </conditionalFormatting>
  <conditionalFormatting sqref="G63">
    <cfRule type="cellIs" dxfId="3" priority="5" operator="lessThan">
      <formula>0</formula>
    </cfRule>
    <cfRule type="cellIs" dxfId="2" priority="6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2190-C320-3E47-A1BE-641E6905BFDE}">
  <sheetPr codeName="Sheet2">
    <tabColor rgb="FF00B050"/>
  </sheetPr>
  <dimension ref="B1:U46"/>
  <sheetViews>
    <sheetView rightToLeft="1" zoomScale="80" zoomScaleNormal="80" workbookViewId="0">
      <selection activeCell="I59" sqref="I59"/>
    </sheetView>
  </sheetViews>
  <sheetFormatPr defaultColWidth="10.77734375" defaultRowHeight="20.25"/>
  <cols>
    <col min="1" max="1" width="10.77734375" style="10"/>
    <col min="2" max="2" width="24.6640625" style="8" customWidth="1"/>
    <col min="3" max="3" width="22.6640625" style="9" customWidth="1"/>
    <col min="4" max="4" width="20.6640625" style="10" customWidth="1"/>
    <col min="5" max="5" width="18.109375" style="10" customWidth="1"/>
    <col min="6" max="7" width="10.109375" style="10" customWidth="1"/>
    <col min="8" max="8" width="24.6640625" style="10" customWidth="1"/>
    <col min="9" max="9" width="25" style="10" bestFit="1" customWidth="1"/>
    <col min="10" max="10" width="20.6640625" style="10" customWidth="1"/>
    <col min="11" max="11" width="18.109375" style="10" customWidth="1"/>
    <col min="12" max="15" width="10.77734375" style="10"/>
    <col min="16" max="17" width="10.77734375" style="10" hidden="1" customWidth="1"/>
    <col min="18" max="18" width="6.44140625" style="10" hidden="1" customWidth="1"/>
    <col min="19" max="19" width="14.6640625" style="10" hidden="1" customWidth="1"/>
    <col min="20" max="20" width="10.77734375" style="10" hidden="1" customWidth="1"/>
    <col min="21" max="21" width="8.6640625" style="10" hidden="1" customWidth="1"/>
    <col min="22" max="22" width="14.6640625" style="10" bestFit="1" customWidth="1"/>
    <col min="23" max="16384" width="10.77734375" style="10"/>
  </cols>
  <sheetData>
    <row r="1" spans="2:20" ht="21" thickBot="1"/>
    <row r="2" spans="2:20" ht="36" customHeight="1" thickBot="1">
      <c r="B2" s="288" t="s">
        <v>75</v>
      </c>
      <c r="C2" s="289"/>
      <c r="D2" s="289"/>
      <c r="E2" s="290"/>
      <c r="H2" s="291" t="s">
        <v>84</v>
      </c>
      <c r="I2" s="292"/>
      <c r="J2" s="292"/>
      <c r="K2" s="293"/>
    </row>
    <row r="3" spans="2:20" ht="32.1" customHeight="1">
      <c r="B3" s="278" t="s">
        <v>68</v>
      </c>
      <c r="C3" s="2" t="s">
        <v>67</v>
      </c>
      <c r="D3" s="22">
        <v>100000</v>
      </c>
      <c r="E3" s="275">
        <f>SUM(D3:D5)</f>
        <v>300000</v>
      </c>
      <c r="F3" s="11"/>
      <c r="H3" s="278" t="s">
        <v>68</v>
      </c>
      <c r="I3" s="2" t="s">
        <v>120</v>
      </c>
      <c r="J3" s="22">
        <v>100000</v>
      </c>
      <c r="K3" s="275">
        <f>-SUM(J3:J5)</f>
        <v>-300000</v>
      </c>
    </row>
    <row r="4" spans="2:20" ht="32.1" customHeight="1">
      <c r="B4" s="279"/>
      <c r="C4" s="3" t="s">
        <v>107</v>
      </c>
      <c r="D4" s="23">
        <v>100000</v>
      </c>
      <c r="E4" s="276"/>
      <c r="F4" s="11"/>
      <c r="H4" s="279"/>
      <c r="I4" s="3" t="s">
        <v>121</v>
      </c>
      <c r="J4" s="23">
        <v>100000</v>
      </c>
      <c r="K4" s="276"/>
    </row>
    <row r="5" spans="2:20" ht="32.1" customHeight="1" thickBot="1">
      <c r="B5" s="280"/>
      <c r="C5" s="4" t="s">
        <v>108</v>
      </c>
      <c r="D5" s="24">
        <v>100000</v>
      </c>
      <c r="E5" s="277"/>
      <c r="F5" s="11"/>
      <c r="H5" s="280"/>
      <c r="I5" s="4" t="s">
        <v>122</v>
      </c>
      <c r="J5" s="24">
        <v>100000</v>
      </c>
      <c r="K5" s="277"/>
      <c r="P5" s="12" t="s">
        <v>85</v>
      </c>
      <c r="Q5" s="13">
        <f>E3</f>
        <v>300000</v>
      </c>
      <c r="S5" s="12" t="s">
        <v>87</v>
      </c>
      <c r="T5" s="14">
        <f>K3</f>
        <v>-300000</v>
      </c>
    </row>
    <row r="6" spans="2:20" ht="32.1" customHeight="1">
      <c r="B6" s="278" t="s">
        <v>69</v>
      </c>
      <c r="C6" s="2" t="s">
        <v>109</v>
      </c>
      <c r="D6" s="22">
        <v>100000</v>
      </c>
      <c r="E6" s="275">
        <f>SUM(D6:D7)</f>
        <v>200000</v>
      </c>
      <c r="F6" s="14"/>
      <c r="H6" s="278" t="s">
        <v>69</v>
      </c>
      <c r="I6" s="2" t="s">
        <v>123</v>
      </c>
      <c r="J6" s="22">
        <v>100000</v>
      </c>
      <c r="K6" s="275">
        <f>-SUM(J6:J7)</f>
        <v>-200000</v>
      </c>
      <c r="P6" s="12" t="s">
        <v>86</v>
      </c>
      <c r="Q6" s="13">
        <f>E6</f>
        <v>200000</v>
      </c>
      <c r="S6" s="12" t="s">
        <v>86</v>
      </c>
      <c r="T6" s="14">
        <f>K6</f>
        <v>-200000</v>
      </c>
    </row>
    <row r="7" spans="2:20" ht="32.1" customHeight="1" thickBot="1">
      <c r="B7" s="280"/>
      <c r="C7" s="4" t="s">
        <v>110</v>
      </c>
      <c r="D7" s="24">
        <v>100000</v>
      </c>
      <c r="E7" s="277"/>
      <c r="H7" s="280"/>
      <c r="I7" s="4" t="s">
        <v>124</v>
      </c>
      <c r="J7" s="24">
        <v>100000</v>
      </c>
      <c r="K7" s="277"/>
      <c r="P7" s="12" t="s">
        <v>71</v>
      </c>
      <c r="Q7" s="13">
        <f>E8</f>
        <v>300000</v>
      </c>
      <c r="S7" s="12" t="s">
        <v>71</v>
      </c>
      <c r="T7" s="14">
        <f>K8</f>
        <v>-300000</v>
      </c>
    </row>
    <row r="8" spans="2:20" ht="32.1" customHeight="1">
      <c r="B8" s="278" t="s">
        <v>71</v>
      </c>
      <c r="C8" s="2" t="s">
        <v>71</v>
      </c>
      <c r="D8" s="25">
        <v>100000</v>
      </c>
      <c r="E8" s="275">
        <f>SUM(D8:D10)</f>
        <v>300000</v>
      </c>
      <c r="F8" s="14"/>
      <c r="H8" s="286" t="s">
        <v>71</v>
      </c>
      <c r="I8" s="6" t="s">
        <v>125</v>
      </c>
      <c r="J8" s="25">
        <v>100000</v>
      </c>
      <c r="K8" s="275">
        <f>-SUM(J8:J10)</f>
        <v>-300000</v>
      </c>
      <c r="P8" s="12" t="s">
        <v>70</v>
      </c>
      <c r="Q8" s="13">
        <f>E11</f>
        <v>500000</v>
      </c>
      <c r="S8" s="12" t="s">
        <v>88</v>
      </c>
      <c r="T8" s="14">
        <f>K11</f>
        <v>-500000</v>
      </c>
    </row>
    <row r="9" spans="2:20" ht="32.1" customHeight="1">
      <c r="B9" s="279"/>
      <c r="C9" s="3" t="s">
        <v>111</v>
      </c>
      <c r="D9" s="23">
        <v>100000</v>
      </c>
      <c r="E9" s="276"/>
      <c r="H9" s="279"/>
      <c r="I9" s="3" t="s">
        <v>101</v>
      </c>
      <c r="J9" s="23">
        <v>100000</v>
      </c>
      <c r="K9" s="276"/>
      <c r="P9" s="274" t="s">
        <v>30</v>
      </c>
      <c r="Q9" s="285">
        <f>E16</f>
        <v>700000</v>
      </c>
      <c r="S9" s="12" t="s">
        <v>30</v>
      </c>
      <c r="T9" s="14">
        <f>K16</f>
        <v>-300000</v>
      </c>
    </row>
    <row r="10" spans="2:20" ht="32.1" customHeight="1" thickBot="1">
      <c r="B10" s="280"/>
      <c r="C10" s="4" t="s">
        <v>112</v>
      </c>
      <c r="D10" s="26">
        <v>100000</v>
      </c>
      <c r="E10" s="277"/>
      <c r="H10" s="287"/>
      <c r="I10" s="5" t="s">
        <v>126</v>
      </c>
      <c r="J10" s="26">
        <v>100000</v>
      </c>
      <c r="K10" s="277"/>
      <c r="P10" s="274"/>
      <c r="Q10" s="285"/>
      <c r="S10" s="15" t="s">
        <v>89</v>
      </c>
      <c r="T10" s="16">
        <f>K19</f>
        <v>-300000</v>
      </c>
    </row>
    <row r="11" spans="2:20" ht="32.1" customHeight="1">
      <c r="B11" s="278" t="s">
        <v>129</v>
      </c>
      <c r="C11" s="2" t="s">
        <v>113</v>
      </c>
      <c r="D11" s="22">
        <v>100000</v>
      </c>
      <c r="E11" s="275">
        <f>SUM(D11:D15)</f>
        <v>500000</v>
      </c>
      <c r="F11" s="14"/>
      <c r="H11" s="278" t="s">
        <v>129</v>
      </c>
      <c r="I11" s="2" t="s">
        <v>76</v>
      </c>
      <c r="J11" s="22">
        <v>100000</v>
      </c>
      <c r="K11" s="275">
        <f>-SUM(J11:J15)</f>
        <v>-500000</v>
      </c>
      <c r="P11" s="17" t="s">
        <v>90</v>
      </c>
      <c r="Q11" s="18">
        <v>0</v>
      </c>
      <c r="S11" s="17" t="s">
        <v>90</v>
      </c>
      <c r="T11" s="16">
        <v>0</v>
      </c>
    </row>
    <row r="12" spans="2:20" ht="32.1" customHeight="1">
      <c r="B12" s="279"/>
      <c r="C12" s="3" t="s">
        <v>114</v>
      </c>
      <c r="D12" s="23">
        <v>100000</v>
      </c>
      <c r="E12" s="276"/>
      <c r="H12" s="279"/>
      <c r="I12" s="3" t="s">
        <v>77</v>
      </c>
      <c r="J12" s="23">
        <v>100000</v>
      </c>
      <c r="K12" s="276"/>
      <c r="P12" s="10" t="s">
        <v>59</v>
      </c>
      <c r="Q12" s="14">
        <f>IF(SUM(Q5:Q10)+SUM(T5:T10)&lt;=0,0,SUM(Q5:Q10)+SUM(T5:T10))</f>
        <v>100000</v>
      </c>
      <c r="S12" s="10" t="s">
        <v>59</v>
      </c>
      <c r="T12" s="14">
        <f>IF(SUM(Q5:Q10)+SUM(T5:T10)&gt;=0,0,SUM(Q5:Q10)+SUM(T5:T10))</f>
        <v>0</v>
      </c>
    </row>
    <row r="13" spans="2:20" ht="32.1" customHeight="1">
      <c r="B13" s="279"/>
      <c r="C13" s="3" t="s">
        <v>115</v>
      </c>
      <c r="D13" s="23">
        <v>100000</v>
      </c>
      <c r="E13" s="276"/>
      <c r="H13" s="279"/>
      <c r="I13" s="3" t="s">
        <v>78</v>
      </c>
      <c r="J13" s="23">
        <v>100000</v>
      </c>
      <c r="K13" s="276"/>
    </row>
    <row r="14" spans="2:20" ht="32.1" customHeight="1">
      <c r="B14" s="279"/>
      <c r="C14" s="3" t="s">
        <v>116</v>
      </c>
      <c r="D14" s="23">
        <v>100000</v>
      </c>
      <c r="E14" s="276"/>
      <c r="H14" s="279"/>
      <c r="I14" s="3" t="s">
        <v>79</v>
      </c>
      <c r="J14" s="23">
        <v>100000</v>
      </c>
      <c r="K14" s="276"/>
    </row>
    <row r="15" spans="2:20" ht="32.1" customHeight="1" thickBot="1">
      <c r="B15" s="280"/>
      <c r="C15" s="4" t="s">
        <v>117</v>
      </c>
      <c r="D15" s="24">
        <v>100000</v>
      </c>
      <c r="E15" s="277"/>
      <c r="H15" s="280"/>
      <c r="I15" s="4" t="s">
        <v>80</v>
      </c>
      <c r="J15" s="24">
        <v>100000</v>
      </c>
      <c r="K15" s="277"/>
    </row>
    <row r="16" spans="2:20" ht="32.1" customHeight="1">
      <c r="B16" s="278" t="s">
        <v>30</v>
      </c>
      <c r="C16" s="2" t="s">
        <v>72</v>
      </c>
      <c r="D16" s="22">
        <v>100000</v>
      </c>
      <c r="E16" s="275">
        <f>SUM(D16:D18)</f>
        <v>700000</v>
      </c>
      <c r="F16" s="14"/>
      <c r="H16" s="278" t="s">
        <v>30</v>
      </c>
      <c r="I16" s="2" t="s">
        <v>81</v>
      </c>
      <c r="J16" s="22">
        <v>100000</v>
      </c>
      <c r="K16" s="275">
        <f>-SUM(J16:J18)</f>
        <v>-300000</v>
      </c>
    </row>
    <row r="17" spans="2:11" ht="32.1" customHeight="1">
      <c r="B17" s="279"/>
      <c r="C17" s="3" t="s">
        <v>73</v>
      </c>
      <c r="D17" s="23">
        <v>500000</v>
      </c>
      <c r="E17" s="276"/>
      <c r="H17" s="279"/>
      <c r="I17" s="3" t="s">
        <v>82</v>
      </c>
      <c r="J17" s="23">
        <v>100000</v>
      </c>
      <c r="K17" s="276"/>
    </row>
    <row r="18" spans="2:11" ht="32.1" customHeight="1" thickBot="1">
      <c r="B18" s="280"/>
      <c r="C18" s="4" t="s">
        <v>74</v>
      </c>
      <c r="D18" s="24">
        <v>100000</v>
      </c>
      <c r="E18" s="277"/>
      <c r="H18" s="280"/>
      <c r="I18" s="4" t="s">
        <v>83</v>
      </c>
      <c r="J18" s="24">
        <v>100000</v>
      </c>
      <c r="K18" s="277"/>
    </row>
    <row r="19" spans="2:11" s="94" customFormat="1" ht="32.1" customHeight="1">
      <c r="B19" s="281" t="s">
        <v>27</v>
      </c>
      <c r="C19" s="95" t="s">
        <v>118</v>
      </c>
      <c r="D19" s="97">
        <v>100000</v>
      </c>
      <c r="E19" s="283">
        <f>SUM(D20+D19)</f>
        <v>200000</v>
      </c>
      <c r="H19" s="278" t="s">
        <v>130</v>
      </c>
      <c r="I19" s="2" t="s">
        <v>127</v>
      </c>
      <c r="J19" s="22">
        <v>100000</v>
      </c>
      <c r="K19" s="275">
        <f>-SUM(J19:J21)</f>
        <v>-300000</v>
      </c>
    </row>
    <row r="20" spans="2:11" s="94" customFormat="1" ht="32.1" customHeight="1" thickBot="1">
      <c r="B20" s="282"/>
      <c r="C20" s="96" t="s">
        <v>119</v>
      </c>
      <c r="D20" s="98">
        <v>100000</v>
      </c>
      <c r="E20" s="284"/>
      <c r="H20" s="279"/>
      <c r="I20" s="3" t="s">
        <v>95</v>
      </c>
      <c r="J20" s="23">
        <v>100000</v>
      </c>
      <c r="K20" s="276"/>
    </row>
    <row r="21" spans="2:11" ht="32.1" customHeight="1" thickBot="1">
      <c r="H21" s="280"/>
      <c r="I21" s="4" t="s">
        <v>128</v>
      </c>
      <c r="J21" s="24">
        <v>100000</v>
      </c>
      <c r="K21" s="277"/>
    </row>
    <row r="22" spans="2:11" ht="21" thickBot="1"/>
    <row r="23" spans="2:11" ht="42.95" customHeight="1" thickBot="1">
      <c r="B23" s="265" t="s">
        <v>106</v>
      </c>
      <c r="C23" s="266"/>
      <c r="D23" s="266"/>
      <c r="E23" s="267"/>
    </row>
    <row r="24" spans="2:11" ht="47.1" customHeight="1">
      <c r="B24" s="19" t="s">
        <v>75</v>
      </c>
      <c r="C24" s="268">
        <f>SUM(D3:D20)</f>
        <v>2200000</v>
      </c>
      <c r="D24" s="268"/>
      <c r="E24" s="269"/>
    </row>
    <row r="25" spans="2:11" ht="47.1" customHeight="1" thickBot="1">
      <c r="B25" s="20" t="s">
        <v>84</v>
      </c>
      <c r="C25" s="270">
        <f>-SUM(J3:J21)</f>
        <v>-1900000</v>
      </c>
      <c r="D25" s="270"/>
      <c r="E25" s="271"/>
    </row>
    <row r="26" spans="2:11" ht="47.1" customHeight="1" thickBot="1">
      <c r="B26" s="21" t="s">
        <v>59</v>
      </c>
      <c r="C26" s="272">
        <f>C24+C25</f>
        <v>300000</v>
      </c>
      <c r="D26" s="272"/>
      <c r="E26" s="273"/>
    </row>
    <row r="33" spans="2:3">
      <c r="B33" s="12"/>
      <c r="C33" s="13"/>
    </row>
    <row r="34" spans="2:3">
      <c r="B34" s="12"/>
      <c r="C34" s="13"/>
    </row>
    <row r="35" spans="2:3">
      <c r="B35" s="12"/>
      <c r="C35" s="13"/>
    </row>
    <row r="37" spans="2:3">
      <c r="B37" s="12"/>
      <c r="C37" s="13"/>
    </row>
    <row r="38" spans="2:3">
      <c r="B38" s="12"/>
      <c r="C38" s="13"/>
    </row>
    <row r="39" spans="2:3">
      <c r="B39" s="12"/>
      <c r="C39" s="13"/>
    </row>
    <row r="40" spans="2:3">
      <c r="B40" s="12"/>
      <c r="C40" s="13"/>
    </row>
    <row r="41" spans="2:3">
      <c r="B41" s="12"/>
      <c r="C41" s="13"/>
    </row>
    <row r="42" spans="2:3">
      <c r="B42" s="12"/>
      <c r="C42" s="13"/>
    </row>
    <row r="43" spans="2:3">
      <c r="B43" s="12"/>
      <c r="C43" s="13"/>
    </row>
    <row r="44" spans="2:3">
      <c r="B44" s="12"/>
      <c r="C44" s="13"/>
    </row>
    <row r="45" spans="2:3">
      <c r="B45" s="12"/>
      <c r="C45" s="13"/>
    </row>
    <row r="46" spans="2:3">
      <c r="B46" s="12"/>
      <c r="C46" s="13"/>
    </row>
  </sheetData>
  <sheetProtection sheet="1" objects="1" formatCells="0" formatColumns="0" formatRows="0" insertColumns="0" insertRows="0" deleteColumns="0" deleteRows="0"/>
  <mergeCells count="32">
    <mergeCell ref="H3:H5"/>
    <mergeCell ref="H6:H7"/>
    <mergeCell ref="H8:H10"/>
    <mergeCell ref="B2:E2"/>
    <mergeCell ref="H2:K2"/>
    <mergeCell ref="B3:B5"/>
    <mergeCell ref="B6:B7"/>
    <mergeCell ref="B8:B10"/>
    <mergeCell ref="E3:E5"/>
    <mergeCell ref="E6:E7"/>
    <mergeCell ref="E8:E10"/>
    <mergeCell ref="Q9:Q10"/>
    <mergeCell ref="K3:K5"/>
    <mergeCell ref="K6:K7"/>
    <mergeCell ref="K8:K10"/>
    <mergeCell ref="K11:K15"/>
    <mergeCell ref="B23:E23"/>
    <mergeCell ref="C24:E24"/>
    <mergeCell ref="C25:E25"/>
    <mergeCell ref="C26:E26"/>
    <mergeCell ref="P9:P10"/>
    <mergeCell ref="K16:K18"/>
    <mergeCell ref="K19:K21"/>
    <mergeCell ref="H16:H18"/>
    <mergeCell ref="H19:H21"/>
    <mergeCell ref="B16:B18"/>
    <mergeCell ref="H11:H15"/>
    <mergeCell ref="B11:B15"/>
    <mergeCell ref="E11:E15"/>
    <mergeCell ref="E16:E18"/>
    <mergeCell ref="B19:B20"/>
    <mergeCell ref="E19:E20"/>
  </mergeCells>
  <phoneticPr fontId="23" type="noConversion"/>
  <conditionalFormatting sqref="C2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989F-F60B-489C-99CB-BBDA809EFEE4}">
  <sheetPr>
    <tabColor theme="7" tint="0.39997558519241921"/>
  </sheetPr>
  <dimension ref="A2:AH104"/>
  <sheetViews>
    <sheetView rightToLeft="1" workbookViewId="0">
      <selection activeCell="D22" sqref="D22"/>
    </sheetView>
  </sheetViews>
  <sheetFormatPr defaultColWidth="11.5546875" defaultRowHeight="15"/>
  <cols>
    <col min="2" max="2" width="12.77734375" customWidth="1"/>
    <col min="3" max="3" width="27" customWidth="1"/>
    <col min="4" max="5" width="15.6640625" customWidth="1"/>
    <col min="6" max="6" width="18.109375" customWidth="1"/>
    <col min="7" max="7" width="16.109375" customWidth="1"/>
    <col min="8" max="8" width="19.33203125" customWidth="1"/>
    <col min="9" max="9" width="18.109375" customWidth="1"/>
    <col min="10" max="10" width="11.6640625" customWidth="1"/>
    <col min="11" max="11" width="11.6640625" style="138" customWidth="1"/>
    <col min="12" max="13" width="9.109375" customWidth="1"/>
    <col min="14" max="14" width="34.77734375" customWidth="1"/>
    <col min="15" max="16" width="13.109375" customWidth="1"/>
    <col min="17" max="17" width="9.109375" customWidth="1"/>
    <col min="18" max="18" width="13.33203125" customWidth="1"/>
    <col min="19" max="19" width="17.77734375" customWidth="1"/>
    <col min="20" max="20" width="19.6640625" customWidth="1"/>
    <col min="21" max="25" width="16.33203125" customWidth="1"/>
    <col min="26" max="27" width="13" customWidth="1"/>
    <col min="28" max="28" width="15.6640625" customWidth="1"/>
    <col min="29" max="34" width="13" customWidth="1"/>
    <col min="35" max="35" width="9.109375" customWidth="1"/>
    <col min="36" max="41" width="10.77734375" customWidth="1"/>
  </cols>
  <sheetData>
    <row r="2" spans="1:30" ht="27" thickBot="1">
      <c r="G2" s="300" t="s">
        <v>96</v>
      </c>
      <c r="H2" s="301"/>
      <c r="N2" s="302" t="s">
        <v>137</v>
      </c>
      <c r="O2" s="302"/>
      <c r="P2" s="302"/>
    </row>
    <row r="3" spans="1:30" ht="27" thickBot="1">
      <c r="B3" s="303" t="s">
        <v>138</v>
      </c>
      <c r="C3" s="304"/>
      <c r="D3" s="304"/>
      <c r="E3" s="305"/>
      <c r="N3" s="139"/>
      <c r="O3" s="139" t="s">
        <v>139</v>
      </c>
      <c r="P3" s="139" t="s">
        <v>140</v>
      </c>
      <c r="S3" s="139" t="s">
        <v>141</v>
      </c>
      <c r="T3" s="139" t="s">
        <v>142</v>
      </c>
      <c r="V3" s="294" t="s">
        <v>139</v>
      </c>
      <c r="W3" s="294"/>
      <c r="X3" s="294" t="s">
        <v>140</v>
      </c>
      <c r="Y3" s="294"/>
    </row>
    <row r="4" spans="1:30" ht="21" thickBot="1">
      <c r="B4" s="295"/>
      <c r="C4" s="140"/>
      <c r="D4" s="141" t="s">
        <v>139</v>
      </c>
      <c r="E4" s="142" t="s">
        <v>140</v>
      </c>
      <c r="N4" s="143" t="s">
        <v>143</v>
      </c>
      <c r="O4" s="144">
        <f ca="1">($O$8-D5)/365</f>
        <v>39.30958904109589</v>
      </c>
      <c r="P4" s="144">
        <f ca="1">($O$8-E5)/365</f>
        <v>39.30958904109589</v>
      </c>
      <c r="S4" s="145">
        <v>1000000</v>
      </c>
      <c r="T4" s="145">
        <v>220</v>
      </c>
      <c r="V4" s="146" t="s">
        <v>144</v>
      </c>
      <c r="W4" s="146" t="s">
        <v>145</v>
      </c>
      <c r="X4" s="146" t="s">
        <v>144</v>
      </c>
      <c r="Y4" s="146" t="s">
        <v>145</v>
      </c>
    </row>
    <row r="5" spans="1:30" ht="20.25">
      <c r="B5" s="296"/>
      <c r="C5" s="147" t="s">
        <v>146</v>
      </c>
      <c r="D5" s="148">
        <v>31879</v>
      </c>
      <c r="E5" s="149">
        <v>31879</v>
      </c>
      <c r="N5" s="143" t="s">
        <v>147</v>
      </c>
      <c r="O5" s="144">
        <f ca="1">D10-O4</f>
        <v>10.69041095890411</v>
      </c>
      <c r="P5" s="144">
        <f ca="1">E10-P4</f>
        <v>10.69041095890411</v>
      </c>
      <c r="V5" s="150">
        <f ca="1">IF(SUM($G$17:$G$19)&lt;=$S$4,SUM($G$17:$G$19),$S$4)</f>
        <v>0</v>
      </c>
      <c r="W5" s="150">
        <f ca="1">IF(SUM($G$17:$G$19)&lt;=$S$4,0,SUM($G$17:$G$19)-$S$4)</f>
        <v>0</v>
      </c>
      <c r="X5" s="150">
        <f ca="1">IF(SUM($G$21:$G$23)&lt;=$S$4,SUM($G$21:$G$23),$S$4)</f>
        <v>0</v>
      </c>
      <c r="Y5" s="150">
        <f ca="1">IF(SUM($G$21:$G$23)&lt;=$S$4,0,SUM($G$21:$G$23)-$S$4)</f>
        <v>0</v>
      </c>
    </row>
    <row r="6" spans="1:30" ht="21" thickBot="1">
      <c r="B6" s="297"/>
      <c r="C6" s="151" t="s">
        <v>148</v>
      </c>
      <c r="D6" s="152">
        <v>65</v>
      </c>
      <c r="E6" s="153">
        <v>67</v>
      </c>
      <c r="N6" s="143" t="s">
        <v>149</v>
      </c>
      <c r="O6" s="144">
        <f>D6-D10</f>
        <v>15</v>
      </c>
      <c r="P6" s="144">
        <f>E6-E10</f>
        <v>17</v>
      </c>
    </row>
    <row r="7" spans="1:30" ht="15.75" thickBot="1"/>
    <row r="8" spans="1:30" ht="27" thickBot="1">
      <c r="B8" s="306" t="s">
        <v>150</v>
      </c>
      <c r="C8" s="307"/>
      <c r="D8" s="307"/>
      <c r="E8" s="308"/>
      <c r="N8" s="7" t="s">
        <v>151</v>
      </c>
      <c r="O8" s="154">
        <f ca="1">TODAY()</f>
        <v>46227</v>
      </c>
      <c r="V8" s="155" t="s">
        <v>95</v>
      </c>
      <c r="W8" s="155"/>
      <c r="X8" s="155"/>
      <c r="Y8" s="155"/>
      <c r="Z8" s="155"/>
      <c r="AA8" s="155"/>
      <c r="AB8" s="155"/>
    </row>
    <row r="9" spans="1:30" ht="21" thickBot="1">
      <c r="B9" s="309"/>
      <c r="C9" s="310"/>
      <c r="D9" s="156" t="s">
        <v>139</v>
      </c>
      <c r="E9" s="157" t="s">
        <v>140</v>
      </c>
      <c r="V9" s="158" t="s">
        <v>152</v>
      </c>
      <c r="W9" s="139" t="s">
        <v>139</v>
      </c>
      <c r="X9" s="158" t="s">
        <v>152</v>
      </c>
      <c r="Y9" s="139" t="s">
        <v>140</v>
      </c>
      <c r="Z9" s="139" t="s">
        <v>153</v>
      </c>
      <c r="AA9" s="139" t="s">
        <v>154</v>
      </c>
      <c r="AB9" s="158" t="s">
        <v>152</v>
      </c>
      <c r="AC9" s="159" t="s">
        <v>155</v>
      </c>
      <c r="AD9" s="159" t="s">
        <v>156</v>
      </c>
    </row>
    <row r="10" spans="1:30" ht="20.25">
      <c r="B10" s="311" t="s">
        <v>157</v>
      </c>
      <c r="C10" s="160" t="s">
        <v>158</v>
      </c>
      <c r="D10" s="161">
        <v>50</v>
      </c>
      <c r="E10" s="162">
        <v>50</v>
      </c>
      <c r="G10" s="163"/>
      <c r="V10" s="164">
        <f ca="1">W5/D13</f>
        <v>0</v>
      </c>
      <c r="W10" s="164">
        <f t="shared" ref="W10:W16" ca="1" si="0">IF(V10&gt;Z10,Z10,V10)</f>
        <v>0</v>
      </c>
      <c r="X10" s="164">
        <f ca="1">Y5/E13</f>
        <v>0</v>
      </c>
      <c r="Y10" s="164">
        <f ca="1">IF(X10&gt;Z10,Z10,X10)</f>
        <v>0</v>
      </c>
      <c r="Z10" s="165">
        <v>6450</v>
      </c>
      <c r="AA10" s="166">
        <v>0.1</v>
      </c>
      <c r="AB10" s="167">
        <f>1-AA10</f>
        <v>0.9</v>
      </c>
      <c r="AC10">
        <f ca="1">SUMPRODUCT(W10:W16,AA10:AA16)</f>
        <v>0</v>
      </c>
      <c r="AD10">
        <f ca="1">SUMPRODUCT(Y10:Y16,AA10:AA16)</f>
        <v>0</v>
      </c>
    </row>
    <row r="11" spans="1:30" ht="21" thickBot="1">
      <c r="B11" s="312"/>
      <c r="C11" s="168" t="s">
        <v>159</v>
      </c>
      <c r="D11" s="169">
        <v>0</v>
      </c>
      <c r="E11" s="170">
        <v>0</v>
      </c>
      <c r="V11" s="164">
        <f t="shared" ref="V11:V17" ca="1" si="1">V10-W10</f>
        <v>0</v>
      </c>
      <c r="W11" s="164">
        <f t="shared" ca="1" si="0"/>
        <v>0</v>
      </c>
      <c r="X11" s="164">
        <f t="shared" ref="X11:X17" ca="1" si="2">X10-Y10</f>
        <v>0</v>
      </c>
      <c r="Y11" s="164">
        <f ca="1">IF(X11&gt;Z11,Z11,X11)</f>
        <v>0</v>
      </c>
      <c r="Z11" s="165">
        <v>2790</v>
      </c>
      <c r="AA11" s="166">
        <v>0.14000000000000001</v>
      </c>
      <c r="AB11" s="167">
        <f t="shared" ref="AB11:AB16" si="3">1-AA11</f>
        <v>0.86</v>
      </c>
      <c r="AC11">
        <v>2.75</v>
      </c>
      <c r="AD11">
        <v>2.25</v>
      </c>
    </row>
    <row r="12" spans="1:30" ht="20.25">
      <c r="B12" s="313" t="s">
        <v>160</v>
      </c>
      <c r="C12" s="171" t="s">
        <v>161</v>
      </c>
      <c r="D12" s="172">
        <v>0.04</v>
      </c>
      <c r="E12" s="173">
        <v>0.04</v>
      </c>
      <c r="V12" s="164">
        <f t="shared" ca="1" si="1"/>
        <v>0</v>
      </c>
      <c r="W12" s="164">
        <f t="shared" ca="1" si="0"/>
        <v>0</v>
      </c>
      <c r="X12" s="164">
        <f t="shared" ca="1" si="2"/>
        <v>0</v>
      </c>
      <c r="Y12" s="164">
        <f t="shared" ref="Y12:Y16" ca="1" si="4">IF(X12&gt;Z12,Z12,X12)</f>
        <v>0</v>
      </c>
      <c r="Z12" s="165">
        <v>5600</v>
      </c>
      <c r="AA12" s="166">
        <v>0.2</v>
      </c>
      <c r="AB12" s="167">
        <f t="shared" si="3"/>
        <v>0.8</v>
      </c>
    </row>
    <row r="13" spans="1:30" ht="21" thickBot="1">
      <c r="B13" s="312"/>
      <c r="C13" s="168" t="s">
        <v>162</v>
      </c>
      <c r="D13" s="174">
        <f ca="1">OFFSET($N$66,MATCH(D6,Table56[גיל פרישה]),MATCH(N27,Table56[[#Headers],[1924]:[2009]],0))</f>
        <v>207.16889289015535</v>
      </c>
      <c r="E13" s="153">
        <f ca="1">OFFSET($N$33,MATCH(E6,N34:N61),MATCH(O27,Table55[[#Headers],[1924]:[2009]],0))</f>
        <v>201.70336339130927</v>
      </c>
      <c r="V13" s="164">
        <f t="shared" ca="1" si="1"/>
        <v>0</v>
      </c>
      <c r="W13" s="164">
        <f t="shared" ca="1" si="0"/>
        <v>0</v>
      </c>
      <c r="X13" s="164">
        <f t="shared" ca="1" si="2"/>
        <v>0</v>
      </c>
      <c r="Y13" s="164">
        <f t="shared" ca="1" si="4"/>
        <v>0</v>
      </c>
      <c r="Z13" s="165">
        <v>5780</v>
      </c>
      <c r="AA13" s="166">
        <v>0.31</v>
      </c>
      <c r="AB13" s="167">
        <f t="shared" si="3"/>
        <v>0.69</v>
      </c>
    </row>
    <row r="14" spans="1:30" ht="15.75" thickBot="1">
      <c r="V14" s="164">
        <f t="shared" ca="1" si="1"/>
        <v>0</v>
      </c>
      <c r="W14" s="164">
        <f t="shared" ca="1" si="0"/>
        <v>0</v>
      </c>
      <c r="X14" s="164">
        <f t="shared" ca="1" si="2"/>
        <v>0</v>
      </c>
      <c r="Y14" s="164">
        <f t="shared" ca="1" si="4"/>
        <v>0</v>
      </c>
      <c r="Z14" s="165">
        <v>22290</v>
      </c>
      <c r="AA14" s="166">
        <v>0.35</v>
      </c>
      <c r="AB14" s="167">
        <f t="shared" si="3"/>
        <v>0.65</v>
      </c>
    </row>
    <row r="15" spans="1:30" ht="39" customHeight="1" thickBot="1">
      <c r="B15" s="243" t="s">
        <v>163</v>
      </c>
      <c r="C15" s="314"/>
      <c r="D15" s="314"/>
      <c r="E15" s="314"/>
      <c r="F15" s="314"/>
      <c r="G15" s="314"/>
      <c r="H15" s="314"/>
      <c r="I15" s="315"/>
      <c r="V15" s="164">
        <f t="shared" ca="1" si="1"/>
        <v>0</v>
      </c>
      <c r="W15" s="164">
        <f t="shared" ca="1" si="0"/>
        <v>0</v>
      </c>
      <c r="X15" s="164">
        <f t="shared" ca="1" si="2"/>
        <v>0</v>
      </c>
      <c r="Y15" s="164">
        <f t="shared" ca="1" si="4"/>
        <v>0</v>
      </c>
      <c r="Z15" s="165">
        <v>12360</v>
      </c>
      <c r="AA15" s="166">
        <v>0.47</v>
      </c>
      <c r="AB15" s="167">
        <f t="shared" si="3"/>
        <v>0.53</v>
      </c>
    </row>
    <row r="16" spans="1:30" ht="41.25" thickBot="1">
      <c r="A16" s="175"/>
      <c r="B16" s="298"/>
      <c r="C16" s="299"/>
      <c r="D16" s="176" t="s">
        <v>93</v>
      </c>
      <c r="E16" s="177" t="s">
        <v>94</v>
      </c>
      <c r="F16" s="178" t="s">
        <v>164</v>
      </c>
      <c r="G16" s="179" t="s">
        <v>165</v>
      </c>
      <c r="H16" s="180" t="s">
        <v>166</v>
      </c>
      <c r="I16" s="181" t="s">
        <v>167</v>
      </c>
      <c r="V16" s="164">
        <f t="shared" ca="1" si="1"/>
        <v>0</v>
      </c>
      <c r="W16" s="164">
        <f t="shared" ca="1" si="0"/>
        <v>0</v>
      </c>
      <c r="X16" s="164">
        <f t="shared" ca="1" si="2"/>
        <v>0</v>
      </c>
      <c r="Y16" s="164">
        <f t="shared" ca="1" si="4"/>
        <v>0</v>
      </c>
      <c r="Z16" s="165">
        <v>100000000</v>
      </c>
      <c r="AA16" s="166">
        <v>0.5</v>
      </c>
      <c r="AB16" s="167">
        <f t="shared" si="3"/>
        <v>0.5</v>
      </c>
    </row>
    <row r="17" spans="1:34" ht="35.1" customHeight="1">
      <c r="A17" s="175"/>
      <c r="B17" s="319" t="s">
        <v>139</v>
      </c>
      <c r="C17" s="182" t="s">
        <v>91</v>
      </c>
      <c r="D17" s="183">
        <v>0</v>
      </c>
      <c r="E17" s="184">
        <v>0</v>
      </c>
      <c r="F17" s="185">
        <f ca="1">MROUND(-FV(D$12/12,O$5*12,E17,D17),5000)</f>
        <v>0</v>
      </c>
      <c r="G17" s="186">
        <f ca="1">MROUND(-FV(D$12/12,O$6*12,E17*D$11,F17),5000)</f>
        <v>0</v>
      </c>
      <c r="H17" s="187">
        <f ca="1">MROUND(G17/D$13,100)</f>
        <v>0</v>
      </c>
      <c r="I17" s="322">
        <f ca="1">MROUND(V20,250)</f>
        <v>0</v>
      </c>
      <c r="V17" s="164">
        <f t="shared" ca="1" si="1"/>
        <v>0</v>
      </c>
      <c r="W17" s="188"/>
      <c r="X17" s="164">
        <f t="shared" ca="1" si="2"/>
        <v>0</v>
      </c>
      <c r="Y17" s="188"/>
      <c r="Z17" s="188"/>
      <c r="AA17" s="188"/>
      <c r="AB17" s="189"/>
    </row>
    <row r="18" spans="1:34" ht="35.1" customHeight="1" thickBot="1">
      <c r="A18" s="175"/>
      <c r="B18" s="320"/>
      <c r="C18" s="190" t="s">
        <v>92</v>
      </c>
      <c r="D18" s="191">
        <v>0</v>
      </c>
      <c r="E18" s="192">
        <v>0</v>
      </c>
      <c r="F18" s="193">
        <f ca="1">MROUND(-FV(D$12/12,O$5*12,E18,D18),5000)</f>
        <v>0</v>
      </c>
      <c r="G18" s="194">
        <f ca="1">MROUND(-FV(D$12/12,O$6*12,E18*D$11,F18),5000)</f>
        <v>0</v>
      </c>
      <c r="H18" s="195">
        <f t="shared" ref="H18:H19" ca="1" si="5">MROUND(G18/D$13,100)</f>
        <v>0</v>
      </c>
      <c r="I18" s="323"/>
    </row>
    <row r="19" spans="1:34" s="175" customFormat="1" ht="35.1" customHeight="1" thickBot="1">
      <c r="B19" s="321"/>
      <c r="C19" s="196" t="s">
        <v>168</v>
      </c>
      <c r="D19" s="197">
        <v>0</v>
      </c>
      <c r="E19" s="198">
        <v>0</v>
      </c>
      <c r="F19" s="199">
        <f ca="1">MROUND(-FV(D$12/12,O$5*12,E19,D19),5000)</f>
        <v>0</v>
      </c>
      <c r="G19" s="200">
        <f ca="1">MROUND(-FV(D$12/12,O$6*12,E19*D$11,F19),5000)</f>
        <v>0</v>
      </c>
      <c r="H19" s="201">
        <f t="shared" ca="1" si="5"/>
        <v>0</v>
      </c>
      <c r="I19" s="324"/>
      <c r="K19" s="202"/>
      <c r="L19"/>
      <c r="M19"/>
      <c r="N19"/>
      <c r="O19"/>
      <c r="P19"/>
      <c r="Q19"/>
      <c r="R19"/>
      <c r="S19"/>
      <c r="T19"/>
      <c r="U19"/>
      <c r="V19" s="203" t="s">
        <v>169</v>
      </c>
      <c r="W19" s="204" t="s">
        <v>170</v>
      </c>
      <c r="X19"/>
      <c r="Y19"/>
      <c r="Z19"/>
      <c r="AA19"/>
      <c r="AB19"/>
      <c r="AC19"/>
      <c r="AD19"/>
      <c r="AE19"/>
      <c r="AF19"/>
      <c r="AG19"/>
      <c r="AH19"/>
    </row>
    <row r="20" spans="1:34" s="175" customFormat="1" ht="32.1" customHeight="1" thickBot="1">
      <c r="B20" s="325"/>
      <c r="C20" s="326"/>
      <c r="D20" s="327"/>
      <c r="E20" s="328"/>
      <c r="F20" s="328"/>
      <c r="G20" s="328"/>
      <c r="H20" s="328"/>
      <c r="I20" s="329"/>
      <c r="K20" s="202"/>
      <c r="L20"/>
      <c r="M20"/>
      <c r="N20"/>
      <c r="O20"/>
      <c r="P20"/>
      <c r="Q20"/>
      <c r="R20"/>
      <c r="S20"/>
      <c r="T20"/>
      <c r="U20"/>
      <c r="V20" s="205">
        <f ca="1">V5/D13 + SUMPRODUCT(W10:W16,AB10:AB16)+ IF(AC10&gt;AC11*$T$4,AC11*$T$4,AC10)</f>
        <v>0</v>
      </c>
      <c r="W20" s="206">
        <f ca="1">X5/E13 + SUMPRODUCT(Y10:Y16,AB10:AB16) + IF(AD10&gt;AD11*$T$4,AD11*$T$4,AD10)</f>
        <v>0</v>
      </c>
      <c r="X20"/>
      <c r="Y20"/>
      <c r="Z20"/>
      <c r="AA20"/>
      <c r="AB20"/>
      <c r="AC20"/>
      <c r="AD20"/>
      <c r="AE20"/>
      <c r="AF20"/>
      <c r="AG20"/>
      <c r="AH20"/>
    </row>
    <row r="21" spans="1:34" s="175" customFormat="1" ht="35.1" customHeight="1">
      <c r="B21" s="319" t="s">
        <v>140</v>
      </c>
      <c r="C21" s="182" t="s">
        <v>91</v>
      </c>
      <c r="D21" s="183">
        <v>0</v>
      </c>
      <c r="E21" s="184">
        <v>0</v>
      </c>
      <c r="F21" s="185">
        <f ca="1">MROUND(-FV(E$12/12,P$5*12,E21,D21),5000)</f>
        <v>0</v>
      </c>
      <c r="G21" s="186">
        <f ca="1">MROUND(-FV(E$12/12,P$6*12,E21*E$11,F21),5000)</f>
        <v>0</v>
      </c>
      <c r="H21" s="187">
        <f ca="1">MROUND(G21/E$13,100)</f>
        <v>0</v>
      </c>
      <c r="I21" s="322">
        <f ca="1">MROUND(W20,250)</f>
        <v>0</v>
      </c>
      <c r="K21" s="202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75" customFormat="1" ht="35.1" customHeight="1">
      <c r="B22" s="320"/>
      <c r="C22" s="190" t="s">
        <v>92</v>
      </c>
      <c r="D22" s="191">
        <v>0</v>
      </c>
      <c r="E22" s="192">
        <v>0</v>
      </c>
      <c r="F22" s="193">
        <f ca="1">MROUND(-FV(E$12/12,P$5*12,E22,D22),5000)</f>
        <v>0</v>
      </c>
      <c r="G22" s="194">
        <f ca="1">MROUND(-FV(E$12/12,P$6*12,E22*E$11,F22),5000)</f>
        <v>0</v>
      </c>
      <c r="H22" s="195">
        <f t="shared" ref="H22:H23" ca="1" si="6">MROUND(G22/E$13,100)</f>
        <v>0</v>
      </c>
      <c r="I22" s="323"/>
      <c r="K22" s="20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75" customFormat="1" ht="35.1" customHeight="1" thickBot="1">
      <c r="B23" s="321"/>
      <c r="C23" s="196" t="s">
        <v>168</v>
      </c>
      <c r="D23" s="197">
        <v>0</v>
      </c>
      <c r="E23" s="198">
        <v>0</v>
      </c>
      <c r="F23" s="199">
        <f ca="1">MROUND(-FV(E$12/12,P$5*12,E23,D23),5000)</f>
        <v>0</v>
      </c>
      <c r="G23" s="200">
        <f ca="1">MROUND(-FV(E$12/12,P$6*12,E23*E$11,F23),5000)</f>
        <v>0</v>
      </c>
      <c r="H23" s="201">
        <f t="shared" ca="1" si="6"/>
        <v>0</v>
      </c>
      <c r="I23" s="324"/>
      <c r="K23" s="20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75" customFormat="1" ht="32.1" customHeight="1">
      <c r="A24"/>
      <c r="B24"/>
      <c r="C24"/>
      <c r="D24"/>
      <c r="E24"/>
      <c r="F24"/>
      <c r="G24"/>
      <c r="H24"/>
      <c r="I24"/>
      <c r="K24" s="202"/>
      <c r="L24"/>
      <c r="M24"/>
      <c r="N24" s="316" t="s">
        <v>171</v>
      </c>
      <c r="O24" s="316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75" customFormat="1" ht="32.1" customHeight="1">
      <c r="A25"/>
      <c r="B25"/>
      <c r="C25"/>
      <c r="D25"/>
      <c r="E25"/>
      <c r="F25"/>
      <c r="G25"/>
      <c r="H25"/>
      <c r="I25"/>
      <c r="K25" s="202"/>
      <c r="L25"/>
      <c r="M25"/>
      <c r="N25" s="207" t="s">
        <v>139</v>
      </c>
      <c r="O25" s="207" t="s">
        <v>140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75" customFormat="1" ht="32.1" customHeight="1">
      <c r="A26"/>
      <c r="B26"/>
      <c r="C26"/>
      <c r="D26"/>
      <c r="E26"/>
      <c r="F26"/>
      <c r="G26"/>
      <c r="H26"/>
      <c r="I26"/>
      <c r="K26" s="202"/>
      <c r="L26"/>
      <c r="M26"/>
      <c r="N26" s="208">
        <f t="array" ref="N26">MATCH(MIN(ABS(YEAR(D5)-Table55[[#Headers],[1924]:[2009]])), ABS(YEAR(D5)-Table55[[#Headers],[1924]:[2009]]), 0)</f>
        <v>14</v>
      </c>
      <c r="O26" s="208">
        <f t="array" ref="O26">MATCH(MIN(ABS(YEAR(E5)-Table55[[#Headers],[1924]:[2009]])), ABS(YEAR(E5)-Table55[[#Headers],[1924]:[2009]]), 0)</f>
        <v>14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N27" s="208" t="str">
        <f t="array" ref="N27">INDEX(Table55[[#Headers],[1924]:[2009]],N26)</f>
        <v>1989</v>
      </c>
      <c r="O27" s="208" t="str">
        <f t="array" ref="O27">INDEX(Table55[[#Headers],[1924]:[2009]],O26)</f>
        <v>1989</v>
      </c>
    </row>
    <row r="28" spans="1:34">
      <c r="N28" s="209"/>
      <c r="O28" s="209"/>
    </row>
    <row r="29" spans="1:34">
      <c r="N29" s="209"/>
      <c r="O29" s="209"/>
    </row>
    <row r="30" spans="1:34">
      <c r="M30" s="175"/>
      <c r="AG30" s="175"/>
      <c r="AH30" s="175"/>
    </row>
    <row r="31" spans="1:34" ht="18">
      <c r="M31" s="175"/>
      <c r="N31" s="316" t="s">
        <v>172</v>
      </c>
      <c r="O31" s="316"/>
      <c r="P31" s="317" t="s">
        <v>173</v>
      </c>
      <c r="Q31" s="317"/>
      <c r="R31" s="317"/>
      <c r="S31" s="210"/>
      <c r="T31" s="210"/>
      <c r="AG31" s="175"/>
      <c r="AH31" s="175"/>
    </row>
    <row r="32" spans="1:34" ht="26.25">
      <c r="M32" s="175"/>
      <c r="N32" s="211" t="s">
        <v>174</v>
      </c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175"/>
      <c r="AC32" s="175"/>
      <c r="AD32" s="175"/>
      <c r="AE32" s="175"/>
      <c r="AF32" s="175"/>
      <c r="AG32" s="175"/>
      <c r="AH32" s="175"/>
    </row>
    <row r="33" spans="12:34" ht="15.75" thickBot="1">
      <c r="L33" s="175"/>
      <c r="M33" s="175"/>
      <c r="N33" s="213" t="s">
        <v>148</v>
      </c>
      <c r="O33" s="214" t="s">
        <v>175</v>
      </c>
      <c r="P33" s="215" t="s">
        <v>176</v>
      </c>
      <c r="Q33" s="215" t="s">
        <v>177</v>
      </c>
      <c r="R33" s="215" t="s">
        <v>178</v>
      </c>
      <c r="S33" s="215" t="s">
        <v>179</v>
      </c>
      <c r="T33" s="215" t="s">
        <v>180</v>
      </c>
      <c r="U33" s="215" t="s">
        <v>181</v>
      </c>
      <c r="V33" s="215" t="s">
        <v>182</v>
      </c>
      <c r="W33" s="215" t="s">
        <v>183</v>
      </c>
      <c r="X33" s="215" t="s">
        <v>184</v>
      </c>
      <c r="Y33" s="215" t="s">
        <v>185</v>
      </c>
      <c r="Z33" s="215" t="s">
        <v>186</v>
      </c>
      <c r="AA33" s="215" t="s">
        <v>187</v>
      </c>
      <c r="AB33" s="215" t="s">
        <v>188</v>
      </c>
      <c r="AC33" s="215" t="s">
        <v>189</v>
      </c>
      <c r="AD33" s="215" t="s">
        <v>190</v>
      </c>
      <c r="AE33" s="215" t="s">
        <v>191</v>
      </c>
      <c r="AF33" s="215" t="s">
        <v>192</v>
      </c>
      <c r="AG33" s="175"/>
      <c r="AH33" s="175"/>
    </row>
    <row r="34" spans="12:34">
      <c r="L34" s="175"/>
      <c r="M34" s="175"/>
      <c r="N34" s="216">
        <v>60</v>
      </c>
      <c r="O34" s="217"/>
      <c r="P34" s="218"/>
      <c r="Q34" s="218"/>
      <c r="R34" s="218"/>
      <c r="S34" s="218"/>
      <c r="T34" s="218"/>
      <c r="U34" s="218"/>
      <c r="V34" s="218">
        <v>221.25573253072508</v>
      </c>
      <c r="W34" s="218">
        <v>222.71556528972781</v>
      </c>
      <c r="X34" s="218">
        <v>224.0160427800306</v>
      </c>
      <c r="Y34" s="218">
        <v>225.20758084912455</v>
      </c>
      <c r="Z34" s="218">
        <v>226.32272126523256</v>
      </c>
      <c r="AA34" s="218">
        <v>227.37822165133213</v>
      </c>
      <c r="AB34" s="218">
        <v>228.37813798522023</v>
      </c>
      <c r="AC34" s="218">
        <v>229.32442286205401</v>
      </c>
      <c r="AD34" s="218">
        <v>230.2190683789093</v>
      </c>
      <c r="AE34" s="218">
        <v>231.06444969300432</v>
      </c>
      <c r="AF34" s="218">
        <v>231.86582727211268</v>
      </c>
      <c r="AG34" s="175"/>
      <c r="AH34" s="175"/>
    </row>
    <row r="35" spans="12:34">
      <c r="L35" s="175"/>
      <c r="M35" s="175"/>
      <c r="N35" s="216">
        <v>61</v>
      </c>
      <c r="O35" s="217"/>
      <c r="P35" s="218"/>
      <c r="Q35" s="218"/>
      <c r="R35" s="218"/>
      <c r="S35" s="218"/>
      <c r="T35" s="218"/>
      <c r="U35" s="218"/>
      <c r="V35" s="218">
        <v>217.60159188161708</v>
      </c>
      <c r="W35" s="218">
        <v>219.08958968504786</v>
      </c>
      <c r="X35" s="218">
        <v>220.41690234497776</v>
      </c>
      <c r="Y35" s="218">
        <v>221.63562034409975</v>
      </c>
      <c r="Z35" s="218">
        <v>222.77895057422853</v>
      </c>
      <c r="AA35" s="218">
        <v>223.86201203453254</v>
      </c>
      <c r="AB35" s="218">
        <v>224.88813662487107</v>
      </c>
      <c r="AC35" s="218">
        <v>225.85927514114314</v>
      </c>
      <c r="AD35" s="218">
        <v>226.7774726967117</v>
      </c>
      <c r="AE35" s="218">
        <v>227.64517488464168</v>
      </c>
      <c r="AF35" s="218">
        <v>228.46778847529004</v>
      </c>
      <c r="AG35" s="175"/>
      <c r="AH35" s="175"/>
    </row>
    <row r="36" spans="12:34">
      <c r="L36" s="175"/>
      <c r="M36" s="175"/>
      <c r="N36" s="216">
        <v>62</v>
      </c>
      <c r="O36" s="217"/>
      <c r="P36" s="218"/>
      <c r="Q36" s="218"/>
      <c r="R36" s="218"/>
      <c r="S36" s="218"/>
      <c r="T36" s="218"/>
      <c r="U36" s="218">
        <v>212.25749871931737</v>
      </c>
      <c r="V36" s="218">
        <v>213.84756033029004</v>
      </c>
      <c r="W36" s="218">
        <v>215.36162948316485</v>
      </c>
      <c r="X36" s="218">
        <v>216.7143521718429</v>
      </c>
      <c r="Y36" s="218">
        <v>217.95938851886422</v>
      </c>
      <c r="Z36" s="218">
        <v>219.13051747746255</v>
      </c>
      <c r="AA36" s="218">
        <v>220.24050994286711</v>
      </c>
      <c r="AB36" s="218">
        <v>221.292259264123</v>
      </c>
      <c r="AC36" s="218">
        <v>222.28769181124295</v>
      </c>
      <c r="AD36" s="218">
        <v>223.22895143516899</v>
      </c>
      <c r="AE36" s="218">
        <v>224.11849128290953</v>
      </c>
      <c r="AF36" s="218">
        <v>224.96189442573899</v>
      </c>
      <c r="AG36" s="175"/>
      <c r="AH36" s="175"/>
    </row>
    <row r="37" spans="12:34">
      <c r="L37" s="175"/>
      <c r="M37" s="175"/>
      <c r="N37" s="216">
        <v>63</v>
      </c>
      <c r="O37" s="217"/>
      <c r="P37" s="218"/>
      <c r="Q37" s="218"/>
      <c r="R37" s="218"/>
      <c r="S37" s="218"/>
      <c r="T37" s="218"/>
      <c r="U37" s="218">
        <v>208.3678080794636</v>
      </c>
      <c r="V37" s="218">
        <v>209.9947725593471</v>
      </c>
      <c r="W37" s="218">
        <v>211.53235270998286</v>
      </c>
      <c r="X37" s="218">
        <v>212.90870476354291</v>
      </c>
      <c r="Y37" s="218">
        <v>214.17920998692881</v>
      </c>
      <c r="Z37" s="218">
        <v>215.37744529867507</v>
      </c>
      <c r="AA37" s="218">
        <v>216.51348696556181</v>
      </c>
      <c r="AB37" s="218">
        <v>217.59000543998542</v>
      </c>
      <c r="AC37" s="218">
        <v>218.60897823378457</v>
      </c>
      <c r="AD37" s="218">
        <v>219.57256820972685</v>
      </c>
      <c r="AE37" s="218">
        <v>220.48327863880229</v>
      </c>
      <c r="AF37" s="218">
        <v>221.34685070932053</v>
      </c>
      <c r="AG37" s="175"/>
      <c r="AH37" s="175"/>
    </row>
    <row r="38" spans="12:34">
      <c r="N38" s="216">
        <v>64</v>
      </c>
      <c r="O38" s="217"/>
      <c r="P38" s="218"/>
      <c r="Q38" s="218"/>
      <c r="R38" s="218"/>
      <c r="S38" s="218"/>
      <c r="T38" s="218"/>
      <c r="U38" s="218">
        <v>204.38297905807559</v>
      </c>
      <c r="V38" s="218">
        <v>206.04436841889606</v>
      </c>
      <c r="W38" s="218">
        <v>207.60246896840704</v>
      </c>
      <c r="X38" s="218">
        <v>209.00047012550854</v>
      </c>
      <c r="Y38" s="218">
        <v>210.29552791610681</v>
      </c>
      <c r="Z38" s="218">
        <v>211.51980786079739</v>
      </c>
      <c r="AA38" s="218">
        <v>212.68077072404483</v>
      </c>
      <c r="AB38" s="218">
        <v>213.78098098078036</v>
      </c>
      <c r="AC38" s="218">
        <v>214.82251007614042</v>
      </c>
      <c r="AD38" s="218">
        <v>215.80746649622313</v>
      </c>
      <c r="AE38" s="218">
        <v>216.73846767759707</v>
      </c>
      <c r="AF38" s="218">
        <v>217.62137422784502</v>
      </c>
    </row>
    <row r="39" spans="12:34">
      <c r="N39" s="216">
        <v>65</v>
      </c>
      <c r="O39" s="217"/>
      <c r="P39" s="218"/>
      <c r="Q39" s="218"/>
      <c r="R39" s="218"/>
      <c r="S39" s="218"/>
      <c r="T39" s="218"/>
      <c r="U39" s="218">
        <v>200.30562088567189</v>
      </c>
      <c r="V39" s="218">
        <v>201.99826478656297</v>
      </c>
      <c r="W39" s="218">
        <v>203.57340429485626</v>
      </c>
      <c r="X39" s="218">
        <v>204.99096602961311</v>
      </c>
      <c r="Y39" s="218">
        <v>206.30948591445542</v>
      </c>
      <c r="Z39" s="218">
        <v>207.55834661882199</v>
      </c>
      <c r="AA39" s="218">
        <v>208.74277765197814</v>
      </c>
      <c r="AB39" s="218">
        <v>209.86531275015415</v>
      </c>
      <c r="AC39" s="218">
        <v>210.92810676013715</v>
      </c>
      <c r="AD39" s="218">
        <v>211.93323252397187</v>
      </c>
      <c r="AE39" s="218">
        <v>212.88336538461556</v>
      </c>
      <c r="AF39" s="218">
        <v>213.78458415013066</v>
      </c>
    </row>
    <row r="40" spans="12:34">
      <c r="N40" s="219">
        <v>66</v>
      </c>
      <c r="O40" s="220"/>
      <c r="P40" s="221"/>
      <c r="Q40" s="221"/>
      <c r="R40" s="221"/>
      <c r="S40" s="221"/>
      <c r="T40" s="221"/>
      <c r="U40" s="221">
        <v>196.13824958004849</v>
      </c>
      <c r="V40" s="221">
        <v>197.85829645490884</v>
      </c>
      <c r="W40" s="221">
        <v>199.44649909444706</v>
      </c>
      <c r="X40" s="221">
        <v>200.881551829876</v>
      </c>
      <c r="Y40" s="221">
        <v>202.22221211377649</v>
      </c>
      <c r="Z40" s="221">
        <v>203.49380010102016</v>
      </c>
      <c r="AA40" s="221">
        <v>204.69994185261106</v>
      </c>
      <c r="AB40" s="221">
        <v>205.84312096969973</v>
      </c>
      <c r="AC40" s="221">
        <v>206.9256078569897</v>
      </c>
      <c r="AD40" s="221">
        <v>207.94947974438372</v>
      </c>
      <c r="AE40" s="221">
        <v>208.91734952923485</v>
      </c>
      <c r="AF40" s="221">
        <v>209.83559582012768</v>
      </c>
    </row>
    <row r="41" spans="12:34">
      <c r="N41" s="219">
        <v>67</v>
      </c>
      <c r="O41" s="220"/>
      <c r="P41" s="221"/>
      <c r="Q41" s="221"/>
      <c r="R41" s="221"/>
      <c r="S41" s="221"/>
      <c r="T41" s="221">
        <v>190.15954363169149</v>
      </c>
      <c r="U41" s="221">
        <v>191.86548481324843</v>
      </c>
      <c r="V41" s="221">
        <v>193.60943521027119</v>
      </c>
      <c r="W41" s="221">
        <v>195.20795793161525</v>
      </c>
      <c r="X41" s="221">
        <v>196.65951480161118</v>
      </c>
      <c r="Y41" s="221">
        <v>198.021421159174</v>
      </c>
      <c r="Z41" s="221">
        <v>199.31430221649487</v>
      </c>
      <c r="AA41" s="221">
        <v>200.54076422657613</v>
      </c>
      <c r="AB41" s="221">
        <v>201.70336339130927</v>
      </c>
      <c r="AC41" s="221">
        <v>202.80435275168924</v>
      </c>
      <c r="AD41" s="221">
        <v>203.84580004113189</v>
      </c>
      <c r="AE41" s="221">
        <v>204.83036620175395</v>
      </c>
      <c r="AF41" s="221">
        <v>205.76462069528029</v>
      </c>
    </row>
    <row r="42" spans="12:34">
      <c r="N42" s="219">
        <v>68</v>
      </c>
      <c r="O42" s="220"/>
      <c r="P42" s="221"/>
      <c r="Q42" s="221"/>
      <c r="R42" s="221"/>
      <c r="S42" s="222"/>
      <c r="T42" s="221">
        <v>185.74042912590366</v>
      </c>
      <c r="U42" s="221">
        <v>187.48598544836565</v>
      </c>
      <c r="V42" s="221">
        <v>189.24991508094811</v>
      </c>
      <c r="W42" s="221">
        <v>190.85645717995311</v>
      </c>
      <c r="X42" s="221">
        <v>192.32335473119156</v>
      </c>
      <c r="Y42" s="221">
        <v>193.70529067481471</v>
      </c>
      <c r="Z42" s="221">
        <v>195.01783964944161</v>
      </c>
      <c r="AA42" s="221">
        <v>196.26309471458308</v>
      </c>
      <c r="AB42" s="221">
        <v>197.44366728803416</v>
      </c>
      <c r="AC42" s="221">
        <v>198.56176586034175</v>
      </c>
      <c r="AD42" s="221">
        <v>199.61955720736381</v>
      </c>
      <c r="AE42" s="221">
        <v>200.61960491310987</v>
      </c>
      <c r="AF42" s="221">
        <v>201.56874034864245</v>
      </c>
    </row>
    <row r="43" spans="12:34">
      <c r="N43" s="219">
        <v>69</v>
      </c>
      <c r="O43" s="220"/>
      <c r="P43" s="221"/>
      <c r="Q43" s="221"/>
      <c r="R43" s="221"/>
      <c r="S43" s="221"/>
      <c r="T43" s="221">
        <v>181.2163588808495</v>
      </c>
      <c r="U43" s="223">
        <v>182.99876535599788</v>
      </c>
      <c r="V43" s="221">
        <v>184.77813833860355</v>
      </c>
      <c r="W43" s="221">
        <v>186.39057392547963</v>
      </c>
      <c r="X43" s="221">
        <v>187.87177693187198</v>
      </c>
      <c r="Y43" s="221">
        <v>189.27212162937064</v>
      </c>
      <c r="Z43" s="221">
        <v>190.60251379154789</v>
      </c>
      <c r="AA43" s="221">
        <v>191.86482321487867</v>
      </c>
      <c r="AB43" s="221">
        <v>193.06173729276458</v>
      </c>
      <c r="AC43" s="221">
        <v>194.19543410953156</v>
      </c>
      <c r="AD43" s="221">
        <v>195.26808254873538</v>
      </c>
      <c r="AE43" s="221">
        <v>196.28225879758793</v>
      </c>
      <c r="AF43" s="221">
        <v>197.24500136421793</v>
      </c>
    </row>
    <row r="44" spans="12:34">
      <c r="N44" s="219">
        <v>70</v>
      </c>
      <c r="O44" s="220"/>
      <c r="P44" s="221"/>
      <c r="Q44" s="221"/>
      <c r="R44" s="221"/>
      <c r="S44" s="221"/>
      <c r="T44" s="221">
        <v>176.58733846585449</v>
      </c>
      <c r="U44" s="223">
        <v>178.40318134652784</v>
      </c>
      <c r="V44" s="221">
        <v>180.19286309996224</v>
      </c>
      <c r="W44" s="221">
        <v>181.80941011554825</v>
      </c>
      <c r="X44" s="221">
        <v>183.30377747488401</v>
      </c>
      <c r="Y44" s="221">
        <v>184.72046142338672</v>
      </c>
      <c r="Z44" s="221">
        <v>186.06660621695858</v>
      </c>
      <c r="AA44" s="221">
        <v>187.34403880392216</v>
      </c>
      <c r="AB44" s="221">
        <v>188.55547294337185</v>
      </c>
      <c r="AC44" s="221">
        <v>189.70298835531418</v>
      </c>
      <c r="AD44" s="221">
        <v>190.78887724818151</v>
      </c>
      <c r="AE44" s="221">
        <v>191.81563840852692</v>
      </c>
      <c r="AF44" s="221">
        <v>192.79051790505346</v>
      </c>
    </row>
    <row r="45" spans="12:34">
      <c r="N45" s="219">
        <v>71</v>
      </c>
      <c r="O45" s="220"/>
      <c r="P45" s="221"/>
      <c r="Q45" s="221"/>
      <c r="R45" s="221"/>
      <c r="S45" s="221"/>
      <c r="T45" s="221">
        <v>171.85220759906568</v>
      </c>
      <c r="U45" s="223">
        <v>173.6974582595717</v>
      </c>
      <c r="V45" s="221">
        <v>175.49175046679619</v>
      </c>
      <c r="W45" s="221">
        <v>177.11121337050849</v>
      </c>
      <c r="X45" s="221">
        <v>178.61743371037878</v>
      </c>
      <c r="Y45" s="221">
        <v>180.04812604536954</v>
      </c>
      <c r="Z45" s="221">
        <v>181.40777625476815</v>
      </c>
      <c r="AA45" s="221">
        <v>182.69815639515667</v>
      </c>
      <c r="AB45" s="221">
        <v>183.92208114801556</v>
      </c>
      <c r="AC45" s="221">
        <v>185.08152074097814</v>
      </c>
      <c r="AD45" s="221">
        <v>186.17881368557647</v>
      </c>
      <c r="AE45" s="221">
        <v>187.21645309634906</v>
      </c>
      <c r="AF45" s="221">
        <v>188.20187917610249</v>
      </c>
    </row>
    <row r="46" spans="12:34">
      <c r="N46" s="219">
        <v>72</v>
      </c>
      <c r="O46" s="220"/>
      <c r="P46" s="221"/>
      <c r="Q46" s="221"/>
      <c r="R46" s="221"/>
      <c r="S46" s="221">
        <v>165.10980331080307</v>
      </c>
      <c r="T46" s="221">
        <v>167.00932052435482</v>
      </c>
      <c r="U46" s="223">
        <v>168.87936573906561</v>
      </c>
      <c r="V46" s="221">
        <v>170.67289154150842</v>
      </c>
      <c r="W46" s="221">
        <v>172.29396195964935</v>
      </c>
      <c r="X46" s="221">
        <v>173.81034714453273</v>
      </c>
      <c r="Y46" s="221">
        <v>175.25250204084838</v>
      </c>
      <c r="Z46" s="221">
        <v>176.6231714179288</v>
      </c>
      <c r="AA46" s="221">
        <v>177.92420270871563</v>
      </c>
      <c r="AB46" s="221">
        <v>179.15839757410242</v>
      </c>
      <c r="AC46" s="221">
        <v>180.32768648268643</v>
      </c>
      <c r="AD46" s="221">
        <v>181.43445485910769</v>
      </c>
      <c r="AE46" s="221">
        <v>182.48108961628893</v>
      </c>
      <c r="AF46" s="221">
        <v>183.47533117292161</v>
      </c>
    </row>
    <row r="47" spans="12:34">
      <c r="N47" s="219">
        <v>73</v>
      </c>
      <c r="O47" s="220"/>
      <c r="P47" s="221"/>
      <c r="Q47" s="221"/>
      <c r="R47" s="221"/>
      <c r="S47" s="221">
        <v>160.14778475935029</v>
      </c>
      <c r="T47" s="221">
        <v>162.065002042505</v>
      </c>
      <c r="U47" s="221">
        <v>163.95424478010824</v>
      </c>
      <c r="V47" s="221">
        <v>165.74191965111666</v>
      </c>
      <c r="W47" s="221">
        <v>167.36224370616861</v>
      </c>
      <c r="X47" s="221">
        <v>168.88634662404473</v>
      </c>
      <c r="Y47" s="221">
        <v>170.33674394482716</v>
      </c>
      <c r="Z47" s="221">
        <v>171.71557000953783</v>
      </c>
      <c r="AA47" s="221">
        <v>173.02442870630955</v>
      </c>
      <c r="AB47" s="221">
        <v>174.26621875867733</v>
      </c>
      <c r="AC47" s="221">
        <v>175.44280732133035</v>
      </c>
      <c r="AD47" s="221">
        <v>176.55666100909923</v>
      </c>
      <c r="AE47" s="221">
        <v>177.61009047966684</v>
      </c>
      <c r="AF47" s="221">
        <v>178.61097388395862</v>
      </c>
    </row>
    <row r="48" spans="12:34">
      <c r="N48" s="219">
        <v>74</v>
      </c>
      <c r="O48" s="220"/>
      <c r="P48" s="221"/>
      <c r="Q48" s="221"/>
      <c r="R48" s="221"/>
      <c r="S48" s="221">
        <v>155.0878434334451</v>
      </c>
      <c r="T48" s="221">
        <v>157.01868583822605</v>
      </c>
      <c r="U48" s="221">
        <v>158.92078952189235</v>
      </c>
      <c r="V48" s="221">
        <v>160.69762450784225</v>
      </c>
      <c r="W48" s="221">
        <v>162.31507845677777</v>
      </c>
      <c r="X48" s="221">
        <v>163.84384499713073</v>
      </c>
      <c r="Y48" s="221">
        <v>165.29912139026385</v>
      </c>
      <c r="Z48" s="221">
        <v>166.68283049497882</v>
      </c>
      <c r="AA48" s="221">
        <v>167.99650561713179</v>
      </c>
      <c r="AB48" s="221">
        <v>169.24303347714346</v>
      </c>
      <c r="AC48" s="221">
        <v>170.42421502045872</v>
      </c>
      <c r="AD48" s="221">
        <v>171.54252663008347</v>
      </c>
      <c r="AE48" s="221">
        <v>172.60025839988435</v>
      </c>
      <c r="AF48" s="221">
        <v>173.60553287127155</v>
      </c>
    </row>
    <row r="49" spans="14:32">
      <c r="N49" s="219">
        <v>75</v>
      </c>
      <c r="O49" s="220"/>
      <c r="P49" s="221"/>
      <c r="Q49" s="221"/>
      <c r="R49" s="221"/>
      <c r="S49" s="221">
        <v>149.93932352860963</v>
      </c>
      <c r="T49" s="221">
        <v>151.87892685212188</v>
      </c>
      <c r="U49" s="221">
        <v>153.7862290533306</v>
      </c>
      <c r="V49" s="221">
        <v>155.54681921682666</v>
      </c>
      <c r="W49" s="221">
        <v>157.15890313354538</v>
      </c>
      <c r="X49" s="221">
        <v>158.68829111797126</v>
      </c>
      <c r="Y49" s="221">
        <v>160.14449295911686</v>
      </c>
      <c r="Z49" s="221">
        <v>161.52922940861103</v>
      </c>
      <c r="AA49" s="221">
        <v>162.84407213545336</v>
      </c>
      <c r="AB49" s="221">
        <v>164.09187127489628</v>
      </c>
      <c r="AC49" s="221">
        <v>165.27440989795821</v>
      </c>
      <c r="AD49" s="221">
        <v>166.39404037030056</v>
      </c>
      <c r="AE49" s="221">
        <v>167.45316823692025</v>
      </c>
      <c r="AF49" s="221">
        <v>168.46007449064416</v>
      </c>
    </row>
    <row r="50" spans="14:32">
      <c r="N50" s="219">
        <v>76</v>
      </c>
      <c r="O50" s="220"/>
      <c r="P50" s="221"/>
      <c r="Q50" s="221"/>
      <c r="R50" s="221"/>
      <c r="S50" s="221">
        <v>144.7139648100586</v>
      </c>
      <c r="T50" s="221">
        <v>146.65648115412947</v>
      </c>
      <c r="U50" s="221">
        <v>148.55986413109434</v>
      </c>
      <c r="V50" s="221">
        <v>150.29854263816782</v>
      </c>
      <c r="W50" s="221">
        <v>151.90192287510331</v>
      </c>
      <c r="X50" s="221">
        <v>153.42701376574416</v>
      </c>
      <c r="Y50" s="221">
        <v>154.879355778411</v>
      </c>
      <c r="Z50" s="221">
        <v>156.2606370623497</v>
      </c>
      <c r="AA50" s="221">
        <v>157.57238510106191</v>
      </c>
      <c r="AB50" s="221">
        <v>158.8172873684442</v>
      </c>
      <c r="AC50" s="221">
        <v>159.99729512660696</v>
      </c>
      <c r="AD50" s="221">
        <v>161.1145471174552</v>
      </c>
      <c r="AE50" s="221">
        <v>162.17156378361184</v>
      </c>
      <c r="AF50" s="221">
        <v>163.1767854558978</v>
      </c>
    </row>
    <row r="51" spans="14:32">
      <c r="N51" s="219">
        <v>77</v>
      </c>
      <c r="O51" s="220"/>
      <c r="P51" s="221"/>
      <c r="Q51" s="221"/>
      <c r="R51" s="221">
        <v>137.15555592468581</v>
      </c>
      <c r="S51" s="221">
        <v>139.39792030300958</v>
      </c>
      <c r="T51" s="221">
        <v>141.33782285068679</v>
      </c>
      <c r="U51" s="221">
        <v>143.22814877225687</v>
      </c>
      <c r="V51" s="221">
        <v>144.94064000535636</v>
      </c>
      <c r="W51" s="221">
        <v>146.53201053065121</v>
      </c>
      <c r="X51" s="221">
        <v>148.04816945962378</v>
      </c>
      <c r="Y51" s="221">
        <v>149.49217554259494</v>
      </c>
      <c r="Z51" s="221">
        <v>150.86574255402195</v>
      </c>
      <c r="AA51" s="221">
        <v>152.17020878829402</v>
      </c>
      <c r="AB51" s="221">
        <v>153.40839071951513</v>
      </c>
      <c r="AC51" s="221">
        <v>154.58210137788183</v>
      </c>
      <c r="AD51" s="221">
        <v>155.69359196851298</v>
      </c>
      <c r="AE51" s="221">
        <v>156.74508920629938</v>
      </c>
      <c r="AF51" s="221">
        <v>157.74548164508181</v>
      </c>
    </row>
    <row r="52" spans="14:32">
      <c r="N52" s="219"/>
      <c r="O52" s="220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</row>
    <row r="53" spans="14:32">
      <c r="N53" s="219">
        <v>78</v>
      </c>
      <c r="O53" s="220"/>
      <c r="P53" s="221"/>
      <c r="Q53" s="221"/>
      <c r="R53" s="221">
        <v>131.83256153476407</v>
      </c>
      <c r="S53" s="221">
        <v>134.01395298861726</v>
      </c>
      <c r="T53" s="221">
        <v>135.94415319535227</v>
      </c>
      <c r="U53" s="221">
        <v>137.81003978079514</v>
      </c>
      <c r="V53" s="221">
        <v>139.49173380459041</v>
      </c>
      <c r="W53" s="221">
        <v>141.06614050674597</v>
      </c>
      <c r="X53" s="221">
        <v>142.56749617115469</v>
      </c>
      <c r="Y53" s="221">
        <v>143.99752142022936</v>
      </c>
      <c r="Z53" s="221">
        <v>145.35785020338443</v>
      </c>
      <c r="AA53" s="221">
        <v>146.64993498141482</v>
      </c>
      <c r="AB53" s="221">
        <v>147.8764507257535</v>
      </c>
      <c r="AC53" s="221">
        <v>149.03925751800938</v>
      </c>
      <c r="AD53" s="221">
        <v>150.14036854281292</v>
      </c>
      <c r="AE53" s="221">
        <v>151.18218188614026</v>
      </c>
      <c r="AF53" s="221">
        <v>152.17370019486611</v>
      </c>
    </row>
    <row r="54" spans="14:32">
      <c r="N54" s="219">
        <v>83</v>
      </c>
      <c r="O54" s="220"/>
      <c r="P54" s="221"/>
      <c r="Q54" s="221">
        <v>103.07239350882074</v>
      </c>
      <c r="R54" s="221">
        <v>105.18728831654332</v>
      </c>
      <c r="S54" s="221">
        <v>106.9402272896593</v>
      </c>
      <c r="T54" s="221">
        <v>108.66444932378988</v>
      </c>
      <c r="U54" s="221">
        <v>110.20822038875413</v>
      </c>
      <c r="V54" s="221">
        <v>111.64294502203336</v>
      </c>
      <c r="W54" s="221">
        <v>113.01292803767438</v>
      </c>
      <c r="X54" s="221">
        <v>114.31964891412434</v>
      </c>
      <c r="Y54" s="221">
        <v>115.56397260343573</v>
      </c>
      <c r="Z54" s="221">
        <v>116.74757573129799</v>
      </c>
      <c r="AA54" s="221">
        <v>117.87211928214423</v>
      </c>
      <c r="AB54" s="221">
        <v>118.93917658802522</v>
      </c>
      <c r="AC54" s="221">
        <v>119.95082885496457</v>
      </c>
      <c r="AD54" s="221">
        <v>120.90873431344214</v>
      </c>
      <c r="AE54" s="221">
        <v>121.81496778557076</v>
      </c>
      <c r="AF54" s="221">
        <v>122.67992320556772</v>
      </c>
    </row>
    <row r="55" spans="14:32">
      <c r="N55" s="219">
        <v>84</v>
      </c>
      <c r="O55" s="220"/>
      <c r="P55" s="221"/>
      <c r="Q55" s="221">
        <v>98.03555514730688</v>
      </c>
      <c r="R55" s="221">
        <v>99.956593946217495</v>
      </c>
      <c r="S55" s="221">
        <v>101.63104337621911</v>
      </c>
      <c r="T55" s="221">
        <v>103.27343639566072</v>
      </c>
      <c r="U55" s="221">
        <v>104.73226078880583</v>
      </c>
      <c r="V55" s="221">
        <v>106.10127633515697</v>
      </c>
      <c r="W55" s="221">
        <v>107.4088301331406</v>
      </c>
      <c r="X55" s="221">
        <v>108.6559035286389</v>
      </c>
      <c r="Y55" s="221">
        <v>109.84316330826445</v>
      </c>
      <c r="Z55" s="221">
        <v>110.97244006910273</v>
      </c>
      <c r="AA55" s="221">
        <v>112.04527820374858</v>
      </c>
      <c r="AB55" s="221">
        <v>113.06298500073507</v>
      </c>
      <c r="AC55" s="221">
        <v>114.02784751078501</v>
      </c>
      <c r="AD55" s="221">
        <v>114.94140372047224</v>
      </c>
      <c r="AE55" s="221">
        <v>115.80554970464628</v>
      </c>
      <c r="AF55" s="221">
        <v>116.63093851818084</v>
      </c>
    </row>
    <row r="56" spans="14:32">
      <c r="N56" s="219">
        <v>85</v>
      </c>
      <c r="O56" s="220"/>
      <c r="P56" s="221"/>
      <c r="Q56" s="221">
        <v>93.065195021513532</v>
      </c>
      <c r="R56" s="221">
        <v>94.810255193958</v>
      </c>
      <c r="S56" s="221">
        <v>96.411652985906414</v>
      </c>
      <c r="T56" s="221">
        <v>97.957969266359783</v>
      </c>
      <c r="U56" s="221">
        <v>99.331207218313779</v>
      </c>
      <c r="V56" s="221">
        <v>100.62985598173131</v>
      </c>
      <c r="W56" s="221">
        <v>101.87003118641242</v>
      </c>
      <c r="X56" s="221">
        <v>103.05272145658719</v>
      </c>
      <c r="Y56" s="221">
        <v>104.17828777955916</v>
      </c>
      <c r="Z56" s="221">
        <v>105.24878074937824</v>
      </c>
      <c r="AA56" s="221">
        <v>106.26556864624067</v>
      </c>
      <c r="AB56" s="221">
        <v>107.23008291620022</v>
      </c>
      <c r="AC56" s="221">
        <v>108.14411851362175</v>
      </c>
      <c r="AD56" s="221">
        <v>109.00964022379091</v>
      </c>
      <c r="AE56" s="221">
        <v>109.82808885566911</v>
      </c>
      <c r="AF56" s="221">
        <v>110.61076752929227</v>
      </c>
    </row>
    <row r="57" spans="14:32">
      <c r="N57" s="219">
        <v>86</v>
      </c>
      <c r="O57" s="220"/>
      <c r="P57" s="221"/>
      <c r="Q57" s="221">
        <v>88.179797958006901</v>
      </c>
      <c r="R57" s="221">
        <v>89.769080302393078</v>
      </c>
      <c r="S57" s="221">
        <v>91.299022461395083</v>
      </c>
      <c r="T57" s="221">
        <v>92.737138972656709</v>
      </c>
      <c r="U57" s="221">
        <v>94.024890932452152</v>
      </c>
      <c r="V57" s="221">
        <v>95.24894658182518</v>
      </c>
      <c r="W57" s="221">
        <v>96.417679216582187</v>
      </c>
      <c r="X57" s="221">
        <v>97.531842813927057</v>
      </c>
      <c r="Y57" s="221">
        <v>98.591737768897161</v>
      </c>
      <c r="Z57" s="221">
        <v>99.599586447801329</v>
      </c>
      <c r="AA57" s="221">
        <v>100.556753087403</v>
      </c>
      <c r="AB57" s="221">
        <v>101.46458744767821</v>
      </c>
      <c r="AC57" s="221">
        <v>102.32444890362314</v>
      </c>
      <c r="AD57" s="221">
        <v>103.13883622709479</v>
      </c>
      <c r="AE57" s="221">
        <v>103.90860410253217</v>
      </c>
      <c r="AF57" s="221">
        <v>104.64546713187458</v>
      </c>
    </row>
    <row r="58" spans="14:32">
      <c r="N58" s="219">
        <v>87</v>
      </c>
      <c r="O58" s="220"/>
      <c r="P58" s="221">
        <v>81.425495891567763</v>
      </c>
      <c r="Q58" s="221">
        <v>83.401979493355981</v>
      </c>
      <c r="R58" s="221">
        <v>84.855794477905675</v>
      </c>
      <c r="S58" s="221">
        <v>86.308361667290271</v>
      </c>
      <c r="T58" s="221">
        <v>87.633030843891433</v>
      </c>
      <c r="U58" s="221">
        <v>88.835023882514292</v>
      </c>
      <c r="V58" s="221">
        <v>89.98089153661283</v>
      </c>
      <c r="W58" s="221">
        <v>91.074549968986787</v>
      </c>
      <c r="X58" s="221">
        <v>92.116891703990746</v>
      </c>
      <c r="Y58" s="221">
        <v>93.108068448522417</v>
      </c>
      <c r="Z58" s="221">
        <v>94.050138493004894</v>
      </c>
      <c r="AA58" s="221">
        <v>94.944511700088583</v>
      </c>
      <c r="AB58" s="221">
        <v>95.792670824644318</v>
      </c>
      <c r="AC58" s="221">
        <v>96.595785328395579</v>
      </c>
      <c r="AD58" s="221">
        <v>97.356074196751422</v>
      </c>
      <c r="AE58" s="221">
        <v>98.074621317068761</v>
      </c>
      <c r="AF58" s="221">
        <v>98.763553733593312</v>
      </c>
    </row>
    <row r="59" spans="14:32">
      <c r="N59" s="219">
        <v>88</v>
      </c>
      <c r="O59" s="220"/>
      <c r="P59" s="221">
        <v>77.034498396426017</v>
      </c>
      <c r="Q59" s="221">
        <v>78.756173281093538</v>
      </c>
      <c r="R59" s="221">
        <v>80.092995267968291</v>
      </c>
      <c r="S59" s="221">
        <v>81.45573178850411</v>
      </c>
      <c r="T59" s="221">
        <v>82.668612870897334</v>
      </c>
      <c r="U59" s="221">
        <v>83.784371380363496</v>
      </c>
      <c r="V59" s="221">
        <v>84.848948748969804</v>
      </c>
      <c r="W59" s="221">
        <v>85.86479036517143</v>
      </c>
      <c r="X59" s="221">
        <v>86.832642613196796</v>
      </c>
      <c r="Y59" s="221">
        <v>87.752580853532933</v>
      </c>
      <c r="Z59" s="221">
        <v>88.626293752387696</v>
      </c>
      <c r="AA59" s="221">
        <v>89.455549739397668</v>
      </c>
      <c r="AB59" s="221">
        <v>90.24151611531012</v>
      </c>
      <c r="AC59" s="221">
        <v>90.985686798623263</v>
      </c>
      <c r="AD59" s="221">
        <v>91.689945096797302</v>
      </c>
      <c r="AE59" s="221">
        <v>92.355234623420813</v>
      </c>
      <c r="AF59" s="221">
        <v>92.994365746730722</v>
      </c>
    </row>
    <row r="60" spans="14:32">
      <c r="N60" s="219">
        <v>89</v>
      </c>
      <c r="O60" s="220"/>
      <c r="P60" s="221">
        <v>72.776297591420999</v>
      </c>
      <c r="Q60" s="221">
        <v>74.267827127678189</v>
      </c>
      <c r="R60" s="221">
        <v>75.503088434247459</v>
      </c>
      <c r="S60" s="221">
        <v>76.763377999552731</v>
      </c>
      <c r="T60" s="221">
        <v>77.867853161031704</v>
      </c>
      <c r="U60" s="221">
        <v>78.896143150880349</v>
      </c>
      <c r="V60" s="221">
        <v>79.877654760167303</v>
      </c>
      <c r="W60" s="221">
        <v>80.813545732489899</v>
      </c>
      <c r="X60" s="221">
        <v>81.70466404956295</v>
      </c>
      <c r="Y60" s="221">
        <v>82.551367462043842</v>
      </c>
      <c r="Z60" s="221">
        <v>83.355025185750648</v>
      </c>
      <c r="AA60" s="221">
        <v>84.117493850434442</v>
      </c>
      <c r="AB60" s="221">
        <v>84.839715490494612</v>
      </c>
      <c r="AC60" s="221">
        <v>85.523456245781247</v>
      </c>
      <c r="AD60" s="221">
        <v>86.170146412641856</v>
      </c>
      <c r="AE60" s="221">
        <v>86.780816098369797</v>
      </c>
      <c r="AF60" s="221">
        <v>87.368759285836674</v>
      </c>
    </row>
    <row r="61" spans="14:32">
      <c r="N61" s="219">
        <v>90</v>
      </c>
      <c r="O61" s="220"/>
      <c r="P61" s="221">
        <v>68.674088152915729</v>
      </c>
      <c r="Q61" s="221">
        <v>69.962802572926861</v>
      </c>
      <c r="R61" s="221">
        <v>71.10734712680275</v>
      </c>
      <c r="S61" s="221">
        <v>72.254074475291645</v>
      </c>
      <c r="T61" s="221">
        <v>73.253853781757968</v>
      </c>
      <c r="U61" s="221">
        <v>74.194237538931702</v>
      </c>
      <c r="V61" s="221">
        <v>75.091019153794775</v>
      </c>
      <c r="W61" s="221">
        <v>75.945544552539985</v>
      </c>
      <c r="X61" s="221">
        <v>76.758775924463535</v>
      </c>
      <c r="Y61" s="221">
        <v>77.531186945022895</v>
      </c>
      <c r="Z61" s="221">
        <v>78.263548353803358</v>
      </c>
      <c r="AA61" s="221">
        <v>78.958137625285048</v>
      </c>
      <c r="AB61" s="221">
        <v>79.615893780423704</v>
      </c>
      <c r="AC61" s="221">
        <v>80.2381501899564</v>
      </c>
      <c r="AD61" s="221">
        <v>80.826538704564996</v>
      </c>
      <c r="AE61" s="221">
        <v>81.381603472537705</v>
      </c>
      <c r="AF61" s="221">
        <v>81.918169098908294</v>
      </c>
    </row>
    <row r="65" spans="14:32" ht="26.25">
      <c r="N65" s="211" t="s">
        <v>193</v>
      </c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</row>
    <row r="66" spans="14:32" ht="15.75" thickBot="1">
      <c r="N66" s="224" t="s">
        <v>148</v>
      </c>
      <c r="O66" s="225" t="s">
        <v>175</v>
      </c>
      <c r="P66" s="226" t="s">
        <v>176</v>
      </c>
      <c r="Q66" s="226" t="s">
        <v>177</v>
      </c>
      <c r="R66" s="226" t="s">
        <v>178</v>
      </c>
      <c r="S66" s="226" t="s">
        <v>179</v>
      </c>
      <c r="T66" s="226" t="s">
        <v>180</v>
      </c>
      <c r="U66" s="226" t="s">
        <v>181</v>
      </c>
      <c r="V66" s="226" t="s">
        <v>182</v>
      </c>
      <c r="W66" s="226" t="s">
        <v>183</v>
      </c>
      <c r="X66" s="226" t="s">
        <v>184</v>
      </c>
      <c r="Y66" s="226" t="s">
        <v>185</v>
      </c>
      <c r="Z66" s="226" t="s">
        <v>186</v>
      </c>
      <c r="AA66" s="226" t="s">
        <v>187</v>
      </c>
      <c r="AB66" s="226" t="s">
        <v>188</v>
      </c>
      <c r="AC66" s="226" t="s">
        <v>189</v>
      </c>
      <c r="AD66" s="226" t="s">
        <v>190</v>
      </c>
      <c r="AE66" s="226" t="s">
        <v>191</v>
      </c>
      <c r="AF66" s="226" t="s">
        <v>192</v>
      </c>
    </row>
    <row r="67" spans="14:32">
      <c r="N67" s="219">
        <v>60</v>
      </c>
      <c r="O67" s="220"/>
      <c r="P67" s="221"/>
      <c r="Q67" s="221"/>
      <c r="R67" s="221"/>
      <c r="S67" s="221"/>
      <c r="T67" s="221"/>
      <c r="U67" s="221"/>
      <c r="V67" s="221">
        <v>219.34224609568798</v>
      </c>
      <c r="W67" s="221">
        <v>220.7469542585394</v>
      </c>
      <c r="X67" s="221">
        <v>222.04557668276294</v>
      </c>
      <c r="Y67" s="221">
        <v>223.25334331167016</v>
      </c>
      <c r="Z67" s="221">
        <v>224.3860849506591</v>
      </c>
      <c r="AA67" s="221">
        <v>225.45170270147042</v>
      </c>
      <c r="AB67" s="221">
        <v>226.45326597766956</v>
      </c>
      <c r="AC67" s="221">
        <v>227.39418567902024</v>
      </c>
      <c r="AD67" s="221">
        <v>228.27626453167926</v>
      </c>
      <c r="AE67" s="221">
        <v>229.10276375402026</v>
      </c>
      <c r="AF67" s="221">
        <v>229.87753975436846</v>
      </c>
    </row>
    <row r="68" spans="14:32">
      <c r="N68" s="219">
        <v>61</v>
      </c>
      <c r="O68" s="220"/>
      <c r="P68" s="221"/>
      <c r="Q68" s="221"/>
      <c r="R68" s="221"/>
      <c r="S68" s="221"/>
      <c r="T68" s="221"/>
      <c r="U68" s="221"/>
      <c r="V68" s="221">
        <v>215.54343369045196</v>
      </c>
      <c r="W68" s="221">
        <v>216.98326276572811</v>
      </c>
      <c r="X68" s="221">
        <v>218.31404108036531</v>
      </c>
      <c r="Y68" s="221">
        <v>219.55304144689234</v>
      </c>
      <c r="Z68" s="221">
        <v>220.71629494765739</v>
      </c>
      <c r="AA68" s="221">
        <v>221.81104506262486</v>
      </c>
      <c r="AB68" s="221">
        <v>222.84013607220766</v>
      </c>
      <c r="AC68" s="221">
        <v>223.8070398099745</v>
      </c>
      <c r="AD68" s="221">
        <v>224.7135778591942</v>
      </c>
      <c r="AE68" s="221">
        <v>225.56310105661785</v>
      </c>
      <c r="AF68" s="221">
        <v>226.35955402269792</v>
      </c>
    </row>
    <row r="69" spans="14:32">
      <c r="N69" s="219">
        <v>62</v>
      </c>
      <c r="O69" s="220"/>
      <c r="P69" s="221"/>
      <c r="Q69" s="221"/>
      <c r="R69" s="221"/>
      <c r="S69" s="221"/>
      <c r="T69" s="221"/>
      <c r="U69" s="221">
        <v>210.09143258983983</v>
      </c>
      <c r="V69" s="221">
        <v>211.62931451298621</v>
      </c>
      <c r="W69" s="221">
        <v>213.10324985280982</v>
      </c>
      <c r="X69" s="221">
        <v>214.46540320838946</v>
      </c>
      <c r="Y69" s="221">
        <v>215.73515286974646</v>
      </c>
      <c r="Z69" s="221">
        <v>216.92862403862171</v>
      </c>
      <c r="AA69" s="221">
        <v>218.0521639800906</v>
      </c>
      <c r="AB69" s="221">
        <v>219.10846446515546</v>
      </c>
      <c r="AC69" s="221">
        <v>220.10108890295055</v>
      </c>
      <c r="AD69" s="221">
        <v>221.03184012943683</v>
      </c>
      <c r="AE69" s="221">
        <v>221.90418725354715</v>
      </c>
      <c r="AF69" s="221">
        <v>222.72213270372856</v>
      </c>
    </row>
    <row r="70" spans="14:32">
      <c r="N70" s="219">
        <v>63</v>
      </c>
      <c r="O70" s="220"/>
      <c r="P70" s="221"/>
      <c r="Q70" s="221"/>
      <c r="R70" s="221"/>
      <c r="S70" s="221"/>
      <c r="T70" s="221"/>
      <c r="U70" s="221">
        <v>206.01913637768726</v>
      </c>
      <c r="V70" s="221">
        <v>207.59749050653397</v>
      </c>
      <c r="W70" s="221">
        <v>209.10429102605542</v>
      </c>
      <c r="X70" s="221">
        <v>210.49689024534445</v>
      </c>
      <c r="Y70" s="221">
        <v>211.79687635020233</v>
      </c>
      <c r="Z70" s="221">
        <v>213.0201345197132</v>
      </c>
      <c r="AA70" s="221">
        <v>214.17199907731188</v>
      </c>
      <c r="AB70" s="221">
        <v>215.25509103124824</v>
      </c>
      <c r="AC70" s="221">
        <v>216.27304712077046</v>
      </c>
      <c r="AD70" s="221">
        <v>217.2276907824135</v>
      </c>
      <c r="AE70" s="221">
        <v>218.12256757496374</v>
      </c>
      <c r="AF70" s="221">
        <v>218.96172740445303</v>
      </c>
    </row>
    <row r="71" spans="14:32">
      <c r="N71" s="219">
        <v>64</v>
      </c>
      <c r="O71" s="220"/>
      <c r="P71" s="221"/>
      <c r="Q71" s="221"/>
      <c r="R71" s="221"/>
      <c r="S71" s="221"/>
      <c r="T71" s="221"/>
      <c r="U71" s="221">
        <v>201.82628538482606</v>
      </c>
      <c r="V71" s="221">
        <v>203.4441649816979</v>
      </c>
      <c r="W71" s="221">
        <v>204.98255758245028</v>
      </c>
      <c r="X71" s="221">
        <v>206.40476608024457</v>
      </c>
      <c r="Y71" s="221">
        <v>207.73453542096831</v>
      </c>
      <c r="Z71" s="221">
        <v>208.98706606288152</v>
      </c>
      <c r="AA71" s="221">
        <v>210.16673380059621</v>
      </c>
      <c r="AB71" s="221">
        <v>211.27616146470342</v>
      </c>
      <c r="AC71" s="221">
        <v>212.31902924641375</v>
      </c>
      <c r="AD71" s="221">
        <v>213.29719445889651</v>
      </c>
      <c r="AE71" s="221">
        <v>214.21425138552581</v>
      </c>
      <c r="AF71" s="221">
        <v>215.0743415647768</v>
      </c>
    </row>
    <row r="72" spans="14:32">
      <c r="N72" s="219">
        <v>65</v>
      </c>
      <c r="O72" s="220"/>
      <c r="P72" s="221"/>
      <c r="Q72" s="221"/>
      <c r="R72" s="221"/>
      <c r="S72" s="221"/>
      <c r="T72" s="221"/>
      <c r="U72" s="221">
        <v>197.51148543514427</v>
      </c>
      <c r="V72" s="221">
        <v>199.16764183209648</v>
      </c>
      <c r="W72" s="221">
        <v>200.73606479335726</v>
      </c>
      <c r="X72" s="221">
        <v>202.18694361176358</v>
      </c>
      <c r="Y72" s="221">
        <v>203.54589616369483</v>
      </c>
      <c r="Z72" s="221">
        <v>204.82697891909052</v>
      </c>
      <c r="AA72" s="221">
        <v>206.03376694360955</v>
      </c>
      <c r="AB72" s="221">
        <v>207.16889289015535</v>
      </c>
      <c r="AC72" s="221">
        <v>208.23612553668178</v>
      </c>
      <c r="AD72" s="221">
        <v>209.23728638392913</v>
      </c>
      <c r="AE72" s="221">
        <v>210.17606610111062</v>
      </c>
      <c r="AF72" s="221">
        <v>211.0566698225058</v>
      </c>
    </row>
    <row r="73" spans="14:32">
      <c r="N73" s="219">
        <v>66</v>
      </c>
      <c r="O73" s="220"/>
      <c r="P73" s="221"/>
      <c r="Q73" s="221"/>
      <c r="R73" s="221"/>
      <c r="S73" s="221"/>
      <c r="T73" s="221"/>
      <c r="U73" s="221">
        <v>193.07574496174135</v>
      </c>
      <c r="V73" s="221">
        <v>194.76840275522028</v>
      </c>
      <c r="W73" s="221">
        <v>196.36487337204383</v>
      </c>
      <c r="X73" s="221">
        <v>197.84325067376039</v>
      </c>
      <c r="Y73" s="221">
        <v>199.2304788255494</v>
      </c>
      <c r="Z73" s="221">
        <v>200.53906790922244</v>
      </c>
      <c r="AA73" s="221">
        <v>201.77199934098684</v>
      </c>
      <c r="AB73" s="221">
        <v>202.93192875012653</v>
      </c>
      <c r="AC73" s="221">
        <v>204.02269462291949</v>
      </c>
      <c r="AD73" s="221">
        <v>205.04611071853668</v>
      </c>
      <c r="AE73" s="221">
        <v>206.00589782175553</v>
      </c>
      <c r="AF73" s="221">
        <v>206.90638687628311</v>
      </c>
    </row>
    <row r="74" spans="14:32">
      <c r="N74" s="219">
        <v>67</v>
      </c>
      <c r="O74" s="220"/>
      <c r="P74" s="221"/>
      <c r="Q74" s="221"/>
      <c r="R74" s="221"/>
      <c r="S74" s="221"/>
      <c r="T74" s="221">
        <v>186.78900083446104</v>
      </c>
      <c r="U74" s="221">
        <v>188.52612920253171</v>
      </c>
      <c r="V74" s="221">
        <v>190.25257918297825</v>
      </c>
      <c r="W74" s="221">
        <v>191.87429897002019</v>
      </c>
      <c r="X74" s="221">
        <v>193.37837214503583</v>
      </c>
      <c r="Y74" s="221">
        <v>194.79224931027952</v>
      </c>
      <c r="Z74" s="221">
        <v>196.1266394677549</v>
      </c>
      <c r="AA74" s="221">
        <v>197.38415857102922</v>
      </c>
      <c r="AB74" s="221">
        <v>198.56742461132396</v>
      </c>
      <c r="AC74" s="221">
        <v>199.68039434422883</v>
      </c>
      <c r="AD74" s="221">
        <v>200.72481834344771</v>
      </c>
      <c r="AE74" s="221">
        <v>201.70447113208405</v>
      </c>
      <c r="AF74" s="221">
        <v>202.62380054908624</v>
      </c>
    </row>
    <row r="75" spans="14:32">
      <c r="N75" s="219">
        <v>68</v>
      </c>
      <c r="O75" s="220"/>
      <c r="P75" s="221"/>
      <c r="Q75" s="221"/>
      <c r="R75" s="221"/>
      <c r="S75" s="221"/>
      <c r="T75" s="221">
        <v>182.0891402021914</v>
      </c>
      <c r="U75" s="221">
        <v>183.86407934864391</v>
      </c>
      <c r="V75" s="221">
        <v>185.62102159231975</v>
      </c>
      <c r="W75" s="221">
        <v>187.26497022050356</v>
      </c>
      <c r="X75" s="221">
        <v>188.79253921863375</v>
      </c>
      <c r="Y75" s="221">
        <v>190.23106262225303</v>
      </c>
      <c r="Z75" s="221">
        <v>191.58923068519931</v>
      </c>
      <c r="AA75" s="221">
        <v>192.86941896846542</v>
      </c>
      <c r="AB75" s="221">
        <v>194.07428798225106</v>
      </c>
      <c r="AC75" s="221">
        <v>195.20779816728776</v>
      </c>
      <c r="AD75" s="221">
        <v>196.27171321914386</v>
      </c>
      <c r="AE75" s="221">
        <v>197.26985080220339</v>
      </c>
      <c r="AF75" s="221">
        <v>198.20672361030373</v>
      </c>
    </row>
    <row r="76" spans="14:32">
      <c r="N76" s="219">
        <v>69</v>
      </c>
      <c r="O76" s="220"/>
      <c r="P76" s="221"/>
      <c r="Q76" s="221"/>
      <c r="R76" s="221"/>
      <c r="S76" s="221"/>
      <c r="T76" s="221">
        <v>177.28136874060695</v>
      </c>
      <c r="U76" s="221">
        <v>179.0913033940852</v>
      </c>
      <c r="V76" s="221">
        <v>180.87479855992996</v>
      </c>
      <c r="W76" s="221">
        <v>182.53764823119039</v>
      </c>
      <c r="X76" s="221">
        <v>184.08628889663197</v>
      </c>
      <c r="Y76" s="221">
        <v>185.54702451691543</v>
      </c>
      <c r="Z76" s="221">
        <v>186.92654347369168</v>
      </c>
      <c r="AA76" s="221">
        <v>188.2271620391403</v>
      </c>
      <c r="AB76" s="221">
        <v>189.45152489325082</v>
      </c>
      <c r="AC76" s="221">
        <v>190.60363316743957</v>
      </c>
      <c r="AD76" s="221">
        <v>191.68525019925875</v>
      </c>
      <c r="AE76" s="221">
        <v>192.70018660839401</v>
      </c>
      <c r="AF76" s="221">
        <v>193.6530547654969</v>
      </c>
    </row>
    <row r="77" spans="14:32">
      <c r="N77" s="219">
        <v>70</v>
      </c>
      <c r="O77" s="220"/>
      <c r="P77" s="221"/>
      <c r="Q77" s="221"/>
      <c r="R77" s="221"/>
      <c r="S77" s="221"/>
      <c r="T77" s="221">
        <v>172.3700736698072</v>
      </c>
      <c r="U77" s="221">
        <v>174.21152574206201</v>
      </c>
      <c r="V77" s="221">
        <v>176.01675742042627</v>
      </c>
      <c r="W77" s="221">
        <v>177.69479742577857</v>
      </c>
      <c r="X77" s="221">
        <v>179.26167421771328</v>
      </c>
      <c r="Y77" s="221">
        <v>180.74157552470342</v>
      </c>
      <c r="Z77" s="221">
        <v>182.1395790966377</v>
      </c>
      <c r="AA77" s="221">
        <v>183.45792770800796</v>
      </c>
      <c r="AB77" s="221">
        <v>184.69928945423345</v>
      </c>
      <c r="AC77" s="221">
        <v>185.8676900044824</v>
      </c>
      <c r="AD77" s="221">
        <v>186.96482094697191</v>
      </c>
      <c r="AE77" s="221">
        <v>187.99452550599338</v>
      </c>
      <c r="AF77" s="221">
        <v>188.96150488995301</v>
      </c>
    </row>
    <row r="78" spans="14:32">
      <c r="N78" s="219">
        <v>71</v>
      </c>
      <c r="O78" s="220"/>
      <c r="P78" s="221"/>
      <c r="Q78" s="221"/>
      <c r="R78" s="221"/>
      <c r="S78" s="221"/>
      <c r="T78" s="221">
        <v>167.35912989382501</v>
      </c>
      <c r="U78" s="221">
        <v>169.22788028375439</v>
      </c>
      <c r="V78" s="221">
        <v>171.04928521513457</v>
      </c>
      <c r="W78" s="221">
        <v>172.73857001085406</v>
      </c>
      <c r="X78" s="221">
        <v>174.32039367348622</v>
      </c>
      <c r="Y78" s="221">
        <v>175.81591237629084</v>
      </c>
      <c r="Z78" s="221">
        <v>177.22905066417238</v>
      </c>
      <c r="AA78" s="221">
        <v>178.56204284847703</v>
      </c>
      <c r="AB78" s="221">
        <v>179.81748894106653</v>
      </c>
      <c r="AC78" s="221">
        <v>180.99946438286167</v>
      </c>
      <c r="AD78" s="221">
        <v>182.10956107897425</v>
      </c>
      <c r="AE78" s="221">
        <v>183.15165171220832</v>
      </c>
      <c r="AF78" s="221">
        <v>184.13054516067433</v>
      </c>
    </row>
    <row r="79" spans="14:32">
      <c r="N79" s="219">
        <v>72</v>
      </c>
      <c r="O79" s="220"/>
      <c r="P79" s="221"/>
      <c r="Q79" s="221"/>
      <c r="R79" s="221"/>
      <c r="S79" s="221">
        <v>160.32010692538651</v>
      </c>
      <c r="T79" s="221">
        <v>162.25423585009497</v>
      </c>
      <c r="U79" s="221">
        <v>164.14520895585997</v>
      </c>
      <c r="V79" s="221">
        <v>165.97646652708022</v>
      </c>
      <c r="W79" s="221">
        <v>167.67262068418603</v>
      </c>
      <c r="X79" s="221">
        <v>169.26542579835797</v>
      </c>
      <c r="Y79" s="221">
        <v>170.7724650573021</v>
      </c>
      <c r="Z79" s="221">
        <v>172.19689440368842</v>
      </c>
      <c r="AA79" s="221">
        <v>173.54090239736831</v>
      </c>
      <c r="AB79" s="221">
        <v>174.80700438641003</v>
      </c>
      <c r="AC79" s="221">
        <v>175.99937766537286</v>
      </c>
      <c r="AD79" s="221">
        <v>177.11945947972097</v>
      </c>
      <c r="AE79" s="221">
        <v>178.17118859380622</v>
      </c>
      <c r="AF79" s="221">
        <v>179.15939627213402</v>
      </c>
    </row>
    <row r="80" spans="14:32">
      <c r="N80" s="219">
        <v>73</v>
      </c>
      <c r="O80" s="220"/>
      <c r="P80" s="221"/>
      <c r="Q80" s="221"/>
      <c r="R80" s="221"/>
      <c r="S80" s="221">
        <v>155.11722611104341</v>
      </c>
      <c r="T80" s="221">
        <v>157.06180565917782</v>
      </c>
      <c r="U80" s="221">
        <v>158.96906135280472</v>
      </c>
      <c r="V80" s="221">
        <v>160.80302101241404</v>
      </c>
      <c r="W80" s="221">
        <v>162.5011538670262</v>
      </c>
      <c r="X80" s="221">
        <v>164.10027695614806</v>
      </c>
      <c r="Y80" s="221">
        <v>165.61415920932836</v>
      </c>
      <c r="Z80" s="221">
        <v>167.04540891356035</v>
      </c>
      <c r="AA80" s="221">
        <v>168.39628482911274</v>
      </c>
      <c r="AB80" s="221">
        <v>169.66909166684746</v>
      </c>
      <c r="AC80" s="221">
        <v>170.86818537702291</v>
      </c>
      <c r="AD80" s="221">
        <v>171.99481517276797</v>
      </c>
      <c r="AE80" s="221">
        <v>173.05294746736874</v>
      </c>
      <c r="AF80" s="221">
        <v>174.0474923163685</v>
      </c>
    </row>
    <row r="81" spans="14:32">
      <c r="N81" s="219">
        <v>74</v>
      </c>
      <c r="O81" s="220"/>
      <c r="P81" s="221"/>
      <c r="Q81" s="221"/>
      <c r="R81" s="221"/>
      <c r="S81" s="221">
        <v>149.8450291986604</v>
      </c>
      <c r="T81" s="221">
        <v>151.79368866773257</v>
      </c>
      <c r="U81" s="221">
        <v>153.70998127626558</v>
      </c>
      <c r="V81" s="221">
        <v>155.53843746388833</v>
      </c>
      <c r="W81" s="221">
        <v>157.23301097546164</v>
      </c>
      <c r="X81" s="221">
        <v>158.83276681469798</v>
      </c>
      <c r="Y81" s="221">
        <v>160.34784364843864</v>
      </c>
      <c r="Z81" s="221">
        <v>161.78069876992762</v>
      </c>
      <c r="AA81" s="221">
        <v>163.1334421759633</v>
      </c>
      <c r="AB81" s="221">
        <v>164.40831546581461</v>
      </c>
      <c r="AC81" s="221">
        <v>165.60973139288885</v>
      </c>
      <c r="AD81" s="221">
        <v>166.73878500062366</v>
      </c>
      <c r="AE81" s="221">
        <v>167.79952563587929</v>
      </c>
      <c r="AF81" s="221">
        <v>168.79673101297706</v>
      </c>
    </row>
    <row r="82" spans="14:32">
      <c r="N82" s="219">
        <v>75</v>
      </c>
      <c r="O82" s="220"/>
      <c r="P82" s="221"/>
      <c r="Q82" s="221"/>
      <c r="R82" s="221"/>
      <c r="S82" s="221">
        <v>144.50950104828644</v>
      </c>
      <c r="T82" s="221">
        <v>146.45519110015638</v>
      </c>
      <c r="U82" s="221">
        <v>148.3723320406138</v>
      </c>
      <c r="V82" s="221">
        <v>150.1864055789645</v>
      </c>
      <c r="W82" s="221">
        <v>151.87138339683489</v>
      </c>
      <c r="X82" s="221">
        <v>153.46545815457816</v>
      </c>
      <c r="Y82" s="221">
        <v>154.97566395731195</v>
      </c>
      <c r="Z82" s="221">
        <v>156.40426395932619</v>
      </c>
      <c r="AA82" s="221">
        <v>157.75344644629024</v>
      </c>
      <c r="AB82" s="221">
        <v>159.02519126032857</v>
      </c>
      <c r="AC82" s="221">
        <v>160.22408974420711</v>
      </c>
      <c r="AD82" s="221">
        <v>161.35101032645983</v>
      </c>
      <c r="AE82" s="221">
        <v>162.4100526886013</v>
      </c>
      <c r="AF82" s="221">
        <v>163.40599625085051</v>
      </c>
    </row>
    <row r="83" spans="14:32">
      <c r="N83" s="219">
        <v>76</v>
      </c>
      <c r="O83" s="220"/>
      <c r="P83" s="221"/>
      <c r="Q83" s="221"/>
      <c r="R83" s="221"/>
      <c r="S83" s="221">
        <v>139.13514347319054</v>
      </c>
      <c r="T83" s="221">
        <v>141.06914275676343</v>
      </c>
      <c r="U83" s="221">
        <v>142.97694345002805</v>
      </c>
      <c r="V83" s="221">
        <v>144.76596682488412</v>
      </c>
      <c r="W83" s="221">
        <v>146.43387761965533</v>
      </c>
      <c r="X83" s="221">
        <v>148.01439845889388</v>
      </c>
      <c r="Y83" s="221">
        <v>149.51204136402765</v>
      </c>
      <c r="Z83" s="221">
        <v>150.92928715258546</v>
      </c>
      <c r="AA83" s="221">
        <v>152.26808872047846</v>
      </c>
      <c r="AB83" s="221">
        <v>153.530412953964</v>
      </c>
      <c r="AC83" s="221">
        <v>154.72074893679132</v>
      </c>
      <c r="AD83" s="221">
        <v>155.8399254922553</v>
      </c>
      <c r="AE83" s="221">
        <v>156.89192589136186</v>
      </c>
      <c r="AF83" s="221">
        <v>157.88163282830169</v>
      </c>
    </row>
    <row r="84" spans="14:32">
      <c r="N84" s="219">
        <v>77</v>
      </c>
      <c r="O84" s="220"/>
      <c r="P84" s="221"/>
      <c r="Q84" s="221"/>
      <c r="R84" s="221">
        <v>131.52069866140653</v>
      </c>
      <c r="S84" s="221">
        <v>133.6938568454899</v>
      </c>
      <c r="T84" s="221">
        <v>135.60877174911258</v>
      </c>
      <c r="U84" s="221">
        <v>137.49721233489697</v>
      </c>
      <c r="V84" s="221">
        <v>139.25308573998615</v>
      </c>
      <c r="W84" s="221">
        <v>140.89770792452754</v>
      </c>
      <c r="X84" s="221">
        <v>142.4577959725753</v>
      </c>
      <c r="Y84" s="221">
        <v>143.93654319454475</v>
      </c>
      <c r="Z84" s="221">
        <v>145.3362427703438</v>
      </c>
      <c r="AA84" s="221">
        <v>146.65887246558566</v>
      </c>
      <c r="AB84" s="221">
        <v>147.90622625334379</v>
      </c>
      <c r="AC84" s="221">
        <v>149.08286464920681</v>
      </c>
      <c r="AD84" s="221">
        <v>150.18941127672042</v>
      </c>
      <c r="AE84" s="221">
        <v>151.22986380192287</v>
      </c>
      <c r="AF84" s="221">
        <v>152.20895772985449</v>
      </c>
    </row>
    <row r="85" spans="14:32">
      <c r="N85" s="219">
        <v>78</v>
      </c>
      <c r="O85" s="220"/>
      <c r="P85" s="221"/>
      <c r="Q85" s="221"/>
      <c r="R85" s="221">
        <v>126.11166119370526</v>
      </c>
      <c r="S85" s="221">
        <v>128.2005928300062</v>
      </c>
      <c r="T85" s="221">
        <v>130.08825977049725</v>
      </c>
      <c r="U85" s="221">
        <v>131.94441451461356</v>
      </c>
      <c r="V85" s="221">
        <v>133.6596237564811</v>
      </c>
      <c r="W85" s="221">
        <v>135.27352422728251</v>
      </c>
      <c r="X85" s="221">
        <v>136.80543705109466</v>
      </c>
      <c r="Y85" s="221">
        <v>138.25779201042565</v>
      </c>
      <c r="Z85" s="221">
        <v>139.6329679352759</v>
      </c>
      <c r="AA85" s="221">
        <v>140.93269876789145</v>
      </c>
      <c r="AB85" s="221">
        <v>142.15877193542713</v>
      </c>
      <c r="AC85" s="221">
        <v>143.31583594588338</v>
      </c>
      <c r="AD85" s="221">
        <v>144.40400202797443</v>
      </c>
      <c r="AE85" s="221">
        <v>145.4275967168858</v>
      </c>
      <c r="AF85" s="221">
        <v>146.3910647173509</v>
      </c>
    </row>
    <row r="86" spans="14:32">
      <c r="N86" s="219">
        <v>79</v>
      </c>
      <c r="O86" s="220"/>
      <c r="P86" s="221"/>
      <c r="Q86" s="221"/>
      <c r="R86" s="221">
        <v>120.67012524899761</v>
      </c>
      <c r="S86" s="221">
        <v>122.6680311222504</v>
      </c>
      <c r="T86" s="221">
        <v>124.52205061018012</v>
      </c>
      <c r="U86" s="221">
        <v>126.33228231326549</v>
      </c>
      <c r="V86" s="221">
        <v>127.99961445974427</v>
      </c>
      <c r="W86" s="221">
        <v>129.57491360359165</v>
      </c>
      <c r="X86" s="221">
        <v>131.07058942228113</v>
      </c>
      <c r="Y86" s="221">
        <v>132.48895736159707</v>
      </c>
      <c r="Z86" s="221">
        <v>133.83225294736332</v>
      </c>
      <c r="AA86" s="221">
        <v>135.10205580802341</v>
      </c>
      <c r="AB86" s="221">
        <v>136.30025702302723</v>
      </c>
      <c r="AC86" s="221">
        <v>137.43129616958683</v>
      </c>
      <c r="AD86" s="221">
        <v>138.49526477327828</v>
      </c>
      <c r="AE86" s="221">
        <v>139.49611689906007</v>
      </c>
      <c r="AF86" s="221">
        <v>140.43879914200141</v>
      </c>
    </row>
    <row r="87" spans="14:32">
      <c r="N87" s="219">
        <v>80</v>
      </c>
      <c r="O87" s="220"/>
      <c r="P87" s="221"/>
      <c r="Q87" s="221"/>
      <c r="R87" s="221">
        <v>115.20620422194884</v>
      </c>
      <c r="S87" s="221">
        <v>117.10683370076715</v>
      </c>
      <c r="T87" s="221">
        <v>118.91967747594546</v>
      </c>
      <c r="U87" s="221">
        <v>120.6696866290809</v>
      </c>
      <c r="V87" s="221">
        <v>122.28171250099551</v>
      </c>
      <c r="W87" s="221">
        <v>123.8096128056192</v>
      </c>
      <c r="X87" s="221">
        <v>125.26053559244062</v>
      </c>
      <c r="Y87" s="221">
        <v>126.63678146595321</v>
      </c>
      <c r="Z87" s="221">
        <v>127.9403538638896</v>
      </c>
      <c r="AA87" s="221">
        <v>129.17293961500954</v>
      </c>
      <c r="AB87" s="221">
        <v>130.33607509265977</v>
      </c>
      <c r="AC87" s="221">
        <v>131.43432570375018</v>
      </c>
      <c r="AD87" s="221">
        <v>132.46765792011945</v>
      </c>
      <c r="AE87" s="221">
        <v>133.43985928907472</v>
      </c>
      <c r="AF87" s="221">
        <v>134.35583006061808</v>
      </c>
    </row>
    <row r="88" spans="14:32">
      <c r="N88" s="219">
        <v>81</v>
      </c>
      <c r="O88" s="220"/>
      <c r="P88" s="221"/>
      <c r="Q88" s="221"/>
      <c r="R88" s="221">
        <v>109.73054705230541</v>
      </c>
      <c r="S88" s="221">
        <v>111.52779648914537</v>
      </c>
      <c r="T88" s="221">
        <v>113.29069871430349</v>
      </c>
      <c r="U88" s="221">
        <v>114.96540724399404</v>
      </c>
      <c r="V88" s="221">
        <v>116.51421310342457</v>
      </c>
      <c r="W88" s="221">
        <v>117.98544168289149</v>
      </c>
      <c r="X88" s="221">
        <v>119.38257102152637</v>
      </c>
      <c r="Y88" s="221">
        <v>120.70799304820125</v>
      </c>
      <c r="Z88" s="221">
        <v>121.96364966669763</v>
      </c>
      <c r="AA88" s="221">
        <v>123.15108626631759</v>
      </c>
      <c r="AB88" s="221">
        <v>124.27156031450141</v>
      </c>
      <c r="AC88" s="221">
        <v>125.32991685541509</v>
      </c>
      <c r="AD88" s="221">
        <v>126.32586127012843</v>
      </c>
      <c r="AE88" s="221">
        <v>127.2630251420471</v>
      </c>
      <c r="AF88" s="221">
        <v>128.14629183506358</v>
      </c>
    </row>
    <row r="89" spans="14:32">
      <c r="N89" s="219">
        <v>82</v>
      </c>
      <c r="O89" s="220"/>
      <c r="P89" s="221"/>
      <c r="Q89" s="221">
        <v>102.18373590539441</v>
      </c>
      <c r="R89" s="221">
        <v>104.28119022105787</v>
      </c>
      <c r="S89" s="221">
        <v>105.98457387234794</v>
      </c>
      <c r="T89" s="221">
        <v>107.68860241067506</v>
      </c>
      <c r="U89" s="221">
        <v>109.27936254801898</v>
      </c>
      <c r="V89" s="221">
        <v>110.75981786741733</v>
      </c>
      <c r="W89" s="221">
        <v>112.16801787253456</v>
      </c>
      <c r="X89" s="221">
        <v>113.50531248297175</v>
      </c>
      <c r="Y89" s="221">
        <v>114.77411344552908</v>
      </c>
      <c r="Z89" s="221">
        <v>115.97617162480051</v>
      </c>
      <c r="AA89" s="221">
        <v>117.11295199082684</v>
      </c>
      <c r="AB89" s="221">
        <v>118.1857671589579</v>
      </c>
      <c r="AC89" s="221">
        <v>119.19924592228044</v>
      </c>
      <c r="AD89" s="221">
        <v>120.15299171520093</v>
      </c>
      <c r="AE89" s="221">
        <v>121.05059117742445</v>
      </c>
      <c r="AF89" s="221">
        <v>121.89686264641682</v>
      </c>
    </row>
    <row r="90" spans="14:32">
      <c r="N90" s="219">
        <v>83</v>
      </c>
      <c r="O90" s="220"/>
      <c r="P90" s="221"/>
      <c r="Q90" s="221">
        <v>96.986961299841141</v>
      </c>
      <c r="R90" s="221">
        <v>98.884608780302585</v>
      </c>
      <c r="S90" s="221">
        <v>100.50197482661216</v>
      </c>
      <c r="T90" s="221">
        <v>102.13346100423732</v>
      </c>
      <c r="U90" s="221">
        <v>103.63596551483499</v>
      </c>
      <c r="V90" s="221">
        <v>105.0431097225129</v>
      </c>
      <c r="W90" s="221">
        <v>106.38242316890327</v>
      </c>
      <c r="X90" s="221">
        <v>107.65402061974191</v>
      </c>
      <c r="Y90" s="221">
        <v>108.86071949455309</v>
      </c>
      <c r="Z90" s="221">
        <v>110.00391123813773</v>
      </c>
      <c r="AA90" s="221">
        <v>111.08491070682891</v>
      </c>
      <c r="AB90" s="221">
        <v>112.10515359727748</v>
      </c>
      <c r="AC90" s="221">
        <v>113.06889658846944</v>
      </c>
      <c r="AD90" s="221">
        <v>113.97601079186916</v>
      </c>
      <c r="AE90" s="221">
        <v>114.82972166867464</v>
      </c>
      <c r="AF90" s="221">
        <v>115.6349846954695</v>
      </c>
    </row>
    <row r="91" spans="14:32">
      <c r="N91" s="219">
        <v>84</v>
      </c>
      <c r="O91" s="220"/>
      <c r="P91" s="221"/>
      <c r="Q91" s="221">
        <v>91.856200216255786</v>
      </c>
      <c r="R91" s="221">
        <v>93.56945228543141</v>
      </c>
      <c r="S91" s="221">
        <v>95.106589644077474</v>
      </c>
      <c r="T91" s="221">
        <v>96.651712445807703</v>
      </c>
      <c r="U91" s="221">
        <v>98.062646021982644</v>
      </c>
      <c r="V91" s="221">
        <v>99.39136186062882</v>
      </c>
      <c r="W91" s="221">
        <v>100.65637099835246</v>
      </c>
      <c r="X91" s="221">
        <v>101.85700855996983</v>
      </c>
      <c r="Y91" s="221">
        <v>102.99640610476102</v>
      </c>
      <c r="Z91" s="221">
        <v>104.07567560772382</v>
      </c>
      <c r="AA91" s="221">
        <v>105.09619423056178</v>
      </c>
      <c r="AB91" s="221">
        <v>106.05929837631074</v>
      </c>
      <c r="AC91" s="221">
        <v>106.96904328058952</v>
      </c>
      <c r="AD91" s="221">
        <v>107.82542890620641</v>
      </c>
      <c r="AE91" s="221">
        <v>108.63129440209269</v>
      </c>
      <c r="AF91" s="221">
        <v>109.39164836830851</v>
      </c>
    </row>
    <row r="92" spans="14:32">
      <c r="N92" s="219">
        <v>85</v>
      </c>
      <c r="O92" s="220"/>
      <c r="P92" s="221"/>
      <c r="Q92" s="221">
        <v>86.8160086913594</v>
      </c>
      <c r="R92" s="221">
        <v>88.36248269315692</v>
      </c>
      <c r="S92" s="221">
        <v>89.822163237824853</v>
      </c>
      <c r="T92" s="221">
        <v>91.268149065470112</v>
      </c>
      <c r="U92" s="221">
        <v>92.585097517879689</v>
      </c>
      <c r="V92" s="221">
        <v>93.830927083543017</v>
      </c>
      <c r="W92" s="221">
        <v>95.016761219194194</v>
      </c>
      <c r="X92" s="221">
        <v>96.14192374397399</v>
      </c>
      <c r="Y92" s="221">
        <v>97.209560168560088</v>
      </c>
      <c r="Z92" s="221">
        <v>98.22067412193411</v>
      </c>
      <c r="AA92" s="221">
        <v>99.176630632215478</v>
      </c>
      <c r="AB92" s="221">
        <v>100.07852418613649</v>
      </c>
      <c r="AC92" s="221">
        <v>100.93045979724339</v>
      </c>
      <c r="AD92" s="221">
        <v>101.73249340043623</v>
      </c>
      <c r="AE92" s="221">
        <v>102.48720010960528</v>
      </c>
      <c r="AF92" s="221">
        <v>103.19924668564938</v>
      </c>
    </row>
    <row r="93" spans="14:32">
      <c r="N93" s="219">
        <v>86</v>
      </c>
      <c r="O93" s="220"/>
      <c r="P93" s="221"/>
      <c r="Q93" s="221">
        <v>81.890750696968809</v>
      </c>
      <c r="R93" s="221">
        <v>83.289439319975088</v>
      </c>
      <c r="S93" s="221">
        <v>84.671441917072741</v>
      </c>
      <c r="T93" s="221">
        <v>86.007473751906033</v>
      </c>
      <c r="U93" s="221">
        <v>87.228854593691437</v>
      </c>
      <c r="V93" s="221">
        <v>88.387814529920959</v>
      </c>
      <c r="W93" s="221">
        <v>89.490512939593714</v>
      </c>
      <c r="X93" s="221">
        <v>90.536657901693445</v>
      </c>
      <c r="Y93" s="221">
        <v>91.529025779083653</v>
      </c>
      <c r="Z93" s="221">
        <v>92.468572852178397</v>
      </c>
      <c r="AA93" s="221">
        <v>93.356413591331375</v>
      </c>
      <c r="AB93" s="221">
        <v>94.193975545002544</v>
      </c>
      <c r="AC93" s="221">
        <v>94.985108114760322</v>
      </c>
      <c r="AD93" s="221">
        <v>95.72974182424835</v>
      </c>
      <c r="AE93" s="221">
        <v>96.430421188293067</v>
      </c>
      <c r="AF93" s="221">
        <v>97.091550431248692</v>
      </c>
    </row>
    <row r="94" spans="14:32">
      <c r="N94" s="219">
        <v>87</v>
      </c>
      <c r="O94" s="220"/>
      <c r="P94" s="221">
        <v>75.396182753593507</v>
      </c>
      <c r="Q94" s="221">
        <v>77.104764170249638</v>
      </c>
      <c r="R94" s="221">
        <v>78.373830764807053</v>
      </c>
      <c r="S94" s="221">
        <v>79.672375632482144</v>
      </c>
      <c r="T94" s="221">
        <v>80.893071619577256</v>
      </c>
      <c r="U94" s="221">
        <v>82.018273769955897</v>
      </c>
      <c r="V94" s="221">
        <v>83.087450209774175</v>
      </c>
      <c r="W94" s="221">
        <v>84.104361476630146</v>
      </c>
      <c r="X94" s="221">
        <v>85.068573333190642</v>
      </c>
      <c r="Y94" s="221">
        <v>85.982936330885764</v>
      </c>
      <c r="Z94" s="221">
        <v>86.848450951230362</v>
      </c>
      <c r="AA94" s="221">
        <v>87.665669899880129</v>
      </c>
      <c r="AB94" s="221">
        <v>88.436787962984241</v>
      </c>
      <c r="AC94" s="221">
        <v>89.164885360042803</v>
      </c>
      <c r="AD94" s="221">
        <v>89.849870761159806</v>
      </c>
      <c r="AE94" s="221">
        <v>90.49446148640051</v>
      </c>
      <c r="AF94" s="221">
        <v>91.102752709108586</v>
      </c>
    </row>
    <row r="95" spans="14:32">
      <c r="N95" s="219">
        <v>88</v>
      </c>
      <c r="O95" s="220"/>
      <c r="P95" s="221">
        <v>71.017020873370569</v>
      </c>
      <c r="Q95" s="221">
        <v>72.48431525808968</v>
      </c>
      <c r="R95" s="221">
        <v>73.639635259305294</v>
      </c>
      <c r="S95" s="221">
        <v>74.844158999762271</v>
      </c>
      <c r="T95" s="221">
        <v>75.950745609815428</v>
      </c>
      <c r="U95" s="221">
        <v>76.979168584175298</v>
      </c>
      <c r="V95" s="221">
        <v>77.95686168415223</v>
      </c>
      <c r="W95" s="221">
        <v>78.885962828627186</v>
      </c>
      <c r="X95" s="221">
        <v>79.766640940003811</v>
      </c>
      <c r="Y95" s="221">
        <v>80.601286777404781</v>
      </c>
      <c r="Z95" s="221">
        <v>81.391212422408472</v>
      </c>
      <c r="AA95" s="221">
        <v>82.136374586006582</v>
      </c>
      <c r="AB95" s="221">
        <v>82.839367347276763</v>
      </c>
      <c r="AC95" s="221">
        <v>83.50282378170192</v>
      </c>
      <c r="AD95" s="221">
        <v>84.126967451341329</v>
      </c>
      <c r="AE95" s="221">
        <v>84.714126825964627</v>
      </c>
      <c r="AF95" s="221">
        <v>85.268450550295086</v>
      </c>
    </row>
    <row r="96" spans="14:32">
      <c r="N96" s="219">
        <v>89</v>
      </c>
      <c r="O96" s="220"/>
      <c r="P96" s="221">
        <v>66.803343738621649</v>
      </c>
      <c r="Q96" s="221">
        <v>68.055952480408692</v>
      </c>
      <c r="R96" s="221">
        <v>69.110187395650826</v>
      </c>
      <c r="S96" s="221">
        <v>70.210872419703207</v>
      </c>
      <c r="T96" s="221">
        <v>71.205731596061327</v>
      </c>
      <c r="U96" s="221">
        <v>72.137333937112089</v>
      </c>
      <c r="V96" s="221">
        <v>73.022504947108416</v>
      </c>
      <c r="W96" s="221">
        <v>73.863142785820628</v>
      </c>
      <c r="X96" s="221">
        <v>74.659522243618937</v>
      </c>
      <c r="Y96" s="221">
        <v>75.413845486460943</v>
      </c>
      <c r="Z96" s="221">
        <v>76.12710220404432</v>
      </c>
      <c r="AA96" s="221">
        <v>76.799825737786421</v>
      </c>
      <c r="AB96" s="221">
        <v>77.434338311178848</v>
      </c>
      <c r="AC96" s="221">
        <v>78.032449207574686</v>
      </c>
      <c r="AD96" s="221">
        <v>78.595152496376528</v>
      </c>
      <c r="AE96" s="221">
        <v>79.124421495449241</v>
      </c>
      <c r="AF96" s="221">
        <v>79.624103856274772</v>
      </c>
    </row>
    <row r="97" spans="14:32">
      <c r="N97" s="219">
        <v>90</v>
      </c>
      <c r="O97" s="220"/>
      <c r="P97" s="221">
        <v>62.776277857379498</v>
      </c>
      <c r="Q97" s="221">
        <v>63.841621883971023</v>
      </c>
      <c r="R97" s="221">
        <v>64.803928768602333</v>
      </c>
      <c r="S97" s="221">
        <v>65.792533916269591</v>
      </c>
      <c r="T97" s="221">
        <v>66.679091879450951</v>
      </c>
      <c r="U97" s="221">
        <v>67.514354735079678</v>
      </c>
      <c r="V97" s="221">
        <v>68.307388147784707</v>
      </c>
      <c r="W97" s="221">
        <v>69.059788824842855</v>
      </c>
      <c r="X97" s="221">
        <v>69.772067328100292</v>
      </c>
      <c r="Y97" s="221">
        <v>70.446269138815623</v>
      </c>
      <c r="Z97" s="221">
        <v>71.083498471426779</v>
      </c>
      <c r="AA97" s="221">
        <v>71.683859321028322</v>
      </c>
      <c r="AB97" s="221">
        <v>72.249901097921168</v>
      </c>
      <c r="AC97" s="221">
        <v>72.783153437142289</v>
      </c>
      <c r="AD97" s="221">
        <v>73.284797731353237</v>
      </c>
      <c r="AE97" s="221">
        <v>73.756490728290117</v>
      </c>
      <c r="AF97" s="221">
        <v>74.202005315828458</v>
      </c>
    </row>
    <row r="98" spans="14:32" ht="23.25">
      <c r="N98" s="318" t="s">
        <v>150</v>
      </c>
      <c r="O98" s="318"/>
      <c r="P98" s="318"/>
      <c r="Q98" s="318"/>
      <c r="R98" s="318"/>
      <c r="S98" s="318"/>
      <c r="T98" s="318"/>
      <c r="U98" s="227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</row>
    <row r="99" spans="14:32">
      <c r="N99" s="219" t="s">
        <v>194</v>
      </c>
      <c r="O99" s="219"/>
      <c r="P99" s="219"/>
      <c r="Q99" s="219"/>
      <c r="R99" s="219"/>
      <c r="S99" s="219"/>
      <c r="T99" s="227" t="s">
        <v>195</v>
      </c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</row>
    <row r="100" spans="14:32">
      <c r="N100" s="219" t="s">
        <v>196</v>
      </c>
      <c r="O100" s="219"/>
      <c r="P100" s="219"/>
      <c r="Q100" s="219"/>
      <c r="R100" s="219"/>
      <c r="S100" s="219"/>
      <c r="T100" s="219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</row>
    <row r="101" spans="14:32">
      <c r="N101" s="228" t="s">
        <v>197</v>
      </c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</row>
    <row r="102" spans="14:32">
      <c r="N102" s="228" t="s">
        <v>198</v>
      </c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</row>
    <row r="103" spans="14:32">
      <c r="N103" s="228" t="s">
        <v>199</v>
      </c>
      <c r="O103" s="228"/>
      <c r="P103" s="228"/>
      <c r="Q103" s="228"/>
      <c r="R103" s="228"/>
      <c r="S103" s="228"/>
      <c r="T103" s="228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</row>
    <row r="104" spans="14:32">
      <c r="N104" s="219" t="s">
        <v>200</v>
      </c>
      <c r="O104" s="219"/>
      <c r="P104" s="219"/>
      <c r="Q104" s="219"/>
      <c r="R104" s="219"/>
      <c r="S104" s="219"/>
      <c r="T104" s="219"/>
    </row>
  </sheetData>
  <sheetProtection sheet="1" objects="1" formatCells="0" formatColumns="0" formatRows="0" insertColumns="0" insertRows="0" deleteColumns="0" deleteRows="0"/>
  <mergeCells count="22">
    <mergeCell ref="N24:O24"/>
    <mergeCell ref="N31:O31"/>
    <mergeCell ref="P31:R31"/>
    <mergeCell ref="N98:T98"/>
    <mergeCell ref="B17:B19"/>
    <mergeCell ref="I17:I19"/>
    <mergeCell ref="B20:C20"/>
    <mergeCell ref="D20:I20"/>
    <mergeCell ref="B21:B23"/>
    <mergeCell ref="I21:I23"/>
    <mergeCell ref="X3:Y3"/>
    <mergeCell ref="B4:B6"/>
    <mergeCell ref="B16:C16"/>
    <mergeCell ref="G2:H2"/>
    <mergeCell ref="N2:P2"/>
    <mergeCell ref="B3:E3"/>
    <mergeCell ref="V3:W3"/>
    <mergeCell ref="B8:E8"/>
    <mergeCell ref="B9:C9"/>
    <mergeCell ref="B10:B11"/>
    <mergeCell ref="B12:B13"/>
    <mergeCell ref="B15:I15"/>
  </mergeCells>
  <hyperlinks>
    <hyperlink ref="P31" r:id="rId1" xr:uid="{0A6F95D8-8277-4636-8E0C-CC2664E2DFF4}"/>
  </hyperlinks>
  <pageMargins left="0.7" right="0.7" top="0.75" bottom="0.75" header="0.3" footer="0.3"/>
  <pageSetup paperSize="9" orientation="portrait" horizontalDpi="0" verticalDpi="0"/>
  <drawing r:id="rId4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EEB0-C634-4AF3-8291-3540C03B669E}">
  <sheetPr>
    <tabColor theme="5" tint="-0.249977111117893"/>
  </sheetPr>
  <dimension ref="B2:Y13"/>
  <sheetViews>
    <sheetView rightToLeft="1" workbookViewId="0">
      <selection activeCell="C12" sqref="C12"/>
    </sheetView>
  </sheetViews>
  <sheetFormatPr defaultColWidth="10.77734375" defaultRowHeight="15"/>
  <cols>
    <col min="1" max="1" width="7.77734375" style="100" customWidth="1"/>
    <col min="2" max="2" width="12.77734375" style="100" customWidth="1"/>
    <col min="3" max="3" width="11.33203125" style="100" bestFit="1" customWidth="1"/>
    <col min="4" max="4" width="11.33203125" style="100" customWidth="1"/>
    <col min="5" max="5" width="10.77734375" style="100"/>
    <col min="6" max="16" width="10.77734375" style="100" customWidth="1"/>
    <col min="17" max="17" width="12.21875" style="100" customWidth="1"/>
    <col min="18" max="18" width="13.21875" style="100" customWidth="1"/>
    <col min="19" max="19" width="13.33203125" style="100" customWidth="1"/>
    <col min="20" max="25" width="11.33203125" style="100" customWidth="1"/>
    <col min="26" max="16384" width="10.77734375" style="100"/>
  </cols>
  <sheetData>
    <row r="2" spans="2:25" ht="15.75" thickBot="1"/>
    <row r="3" spans="2:25" ht="24.95" customHeight="1" thickBot="1">
      <c r="B3" s="101" t="s">
        <v>131</v>
      </c>
      <c r="C3" s="102">
        <v>7.0000000000000007E-2</v>
      </c>
      <c r="D3" s="103"/>
    </row>
    <row r="4" spans="2:25" ht="24.95" customHeight="1" thickBot="1">
      <c r="U4" s="104" t="s">
        <v>132</v>
      </c>
      <c r="X4" s="104" t="s">
        <v>133</v>
      </c>
    </row>
    <row r="5" spans="2:25" ht="24.95" customHeight="1">
      <c r="B5" s="330"/>
      <c r="C5" s="105" t="s">
        <v>134</v>
      </c>
      <c r="D5" s="330" t="s">
        <v>131</v>
      </c>
      <c r="E5" s="332" t="s">
        <v>94</v>
      </c>
      <c r="F5" s="106">
        <v>2</v>
      </c>
      <c r="G5" s="107">
        <v>4</v>
      </c>
      <c r="H5" s="108">
        <v>6</v>
      </c>
      <c r="I5" s="107">
        <v>8</v>
      </c>
      <c r="J5" s="108">
        <v>10</v>
      </c>
      <c r="K5" s="107">
        <v>12</v>
      </c>
      <c r="L5" s="108">
        <v>14</v>
      </c>
      <c r="M5" s="107">
        <v>16</v>
      </c>
      <c r="N5" s="108">
        <v>18</v>
      </c>
      <c r="O5" s="107">
        <v>20</v>
      </c>
      <c r="P5" s="108">
        <v>22</v>
      </c>
      <c r="Q5" s="107">
        <v>24</v>
      </c>
      <c r="R5" s="108">
        <v>26</v>
      </c>
      <c r="S5" s="107">
        <v>28</v>
      </c>
      <c r="T5" s="108">
        <v>30</v>
      </c>
      <c r="U5" s="107">
        <v>32</v>
      </c>
      <c r="V5" s="108">
        <v>34</v>
      </c>
      <c r="W5" s="107">
        <v>36</v>
      </c>
      <c r="X5" s="108">
        <v>38</v>
      </c>
      <c r="Y5" s="109">
        <v>40</v>
      </c>
    </row>
    <row r="6" spans="2:25" ht="24.95" customHeight="1" thickBot="1">
      <c r="B6" s="331"/>
      <c r="C6" s="110">
        <v>2023</v>
      </c>
      <c r="D6" s="331"/>
      <c r="E6" s="333"/>
      <c r="F6" s="111">
        <f t="shared" ref="F6:Y6" si="0">$C$6+F5</f>
        <v>2025</v>
      </c>
      <c r="G6" s="112">
        <f t="shared" si="0"/>
        <v>2027</v>
      </c>
      <c r="H6" s="113">
        <f t="shared" si="0"/>
        <v>2029</v>
      </c>
      <c r="I6" s="112">
        <f t="shared" si="0"/>
        <v>2031</v>
      </c>
      <c r="J6" s="113">
        <f t="shared" si="0"/>
        <v>2033</v>
      </c>
      <c r="K6" s="112">
        <f t="shared" si="0"/>
        <v>2035</v>
      </c>
      <c r="L6" s="113">
        <f t="shared" si="0"/>
        <v>2037</v>
      </c>
      <c r="M6" s="112">
        <f t="shared" si="0"/>
        <v>2039</v>
      </c>
      <c r="N6" s="113">
        <f t="shared" si="0"/>
        <v>2041</v>
      </c>
      <c r="O6" s="112">
        <f t="shared" si="0"/>
        <v>2043</v>
      </c>
      <c r="P6" s="113">
        <f t="shared" si="0"/>
        <v>2045</v>
      </c>
      <c r="Q6" s="112">
        <f t="shared" si="0"/>
        <v>2047</v>
      </c>
      <c r="R6" s="113">
        <f t="shared" si="0"/>
        <v>2049</v>
      </c>
      <c r="S6" s="112">
        <f t="shared" si="0"/>
        <v>2051</v>
      </c>
      <c r="T6" s="113">
        <f t="shared" si="0"/>
        <v>2053</v>
      </c>
      <c r="U6" s="112">
        <f t="shared" si="0"/>
        <v>2055</v>
      </c>
      <c r="V6" s="113">
        <f t="shared" si="0"/>
        <v>2057</v>
      </c>
      <c r="W6" s="112">
        <f t="shared" si="0"/>
        <v>2059</v>
      </c>
      <c r="X6" s="113">
        <f t="shared" si="0"/>
        <v>2061</v>
      </c>
      <c r="Y6" s="114">
        <f t="shared" si="0"/>
        <v>2063</v>
      </c>
    </row>
    <row r="7" spans="2:25" ht="26.1" customHeight="1">
      <c r="B7" s="115" t="s">
        <v>114</v>
      </c>
      <c r="C7" s="116">
        <v>50000</v>
      </c>
      <c r="D7" s="117">
        <v>7.0000000000000007E-2</v>
      </c>
      <c r="E7" s="116">
        <v>2000</v>
      </c>
      <c r="F7" s="118">
        <f>-FV($D7/12,($G$5-$F$5)*12,$E7) + $C7</f>
        <v>101362.06314377359</v>
      </c>
      <c r="G7" s="119">
        <f t="shared" ref="G7:Y11" si="1">-FV($D7/12,(G$5-F$5)*12,$E7,F7)</f>
        <v>167908.77329297038</v>
      </c>
      <c r="H7" s="119">
        <f t="shared" si="1"/>
        <v>244424.58106752305</v>
      </c>
      <c r="I7" s="119">
        <f t="shared" si="1"/>
        <v>332402.91728078149</v>
      </c>
      <c r="J7" s="119">
        <f t="shared" si="1"/>
        <v>433560.93766865938</v>
      </c>
      <c r="K7" s="119">
        <f t="shared" si="1"/>
        <v>549873.03822929948</v>
      </c>
      <c r="L7" s="119">
        <f t="shared" si="1"/>
        <v>683609.39136229944</v>
      </c>
      <c r="M7" s="119">
        <f t="shared" si="1"/>
        <v>837380.25495348533</v>
      </c>
      <c r="N7" s="119">
        <f t="shared" si="1"/>
        <v>1014186.9192272135</v>
      </c>
      <c r="O7" s="119">
        <f t="shared" si="1"/>
        <v>1217480.2857437208</v>
      </c>
      <c r="P7" s="119">
        <f t="shared" si="1"/>
        <v>1451228.2218827778</v>
      </c>
      <c r="Q7" s="119">
        <f t="shared" si="1"/>
        <v>1719993.0054342956</v>
      </c>
      <c r="R7" s="119">
        <f t="shared" si="1"/>
        <v>2029020.3708546343</v>
      </c>
      <c r="S7" s="119">
        <f t="shared" si="1"/>
        <v>2384341.8951879372</v>
      </c>
      <c r="T7" s="119">
        <f t="shared" si="1"/>
        <v>2792892.7220145911</v>
      </c>
      <c r="U7" s="119">
        <f t="shared" si="1"/>
        <v>3262646.9211555705</v>
      </c>
      <c r="V7" s="119">
        <f t="shared" si="1"/>
        <v>3802773.1260750173</v>
      </c>
      <c r="W7" s="119">
        <f t="shared" si="1"/>
        <v>4423813.4867022792</v>
      </c>
      <c r="X7" s="119">
        <f t="shared" si="1"/>
        <v>5137889.4304635357</v>
      </c>
      <c r="Y7" s="120">
        <f t="shared" si="1"/>
        <v>5958938.247554129</v>
      </c>
    </row>
    <row r="8" spans="2:25" ht="26.1" customHeight="1">
      <c r="B8" s="121" t="s">
        <v>135</v>
      </c>
      <c r="C8" s="122">
        <v>50000</v>
      </c>
      <c r="D8" s="117">
        <v>7.0000000000000007E-2</v>
      </c>
      <c r="E8" s="122">
        <v>2200</v>
      </c>
      <c r="F8" s="123">
        <f>-FV($D8/12,($G$5-$F$5)*12,$E8) + $C8</f>
        <v>106498.26945815096</v>
      </c>
      <c r="G8" s="124">
        <f t="shared" si="1"/>
        <v>178950.62053475404</v>
      </c>
      <c r="H8" s="124">
        <f t="shared" si="1"/>
        <v>262256.76978484855</v>
      </c>
      <c r="I8" s="124">
        <f t="shared" si="1"/>
        <v>358042.68148758303</v>
      </c>
      <c r="J8" s="124">
        <f t="shared" si="1"/>
        <v>468177.89915536682</v>
      </c>
      <c r="K8" s="124">
        <f t="shared" si="1"/>
        <v>594812.03516875126</v>
      </c>
      <c r="L8" s="124">
        <f t="shared" si="1"/>
        <v>740416.72677819268</v>
      </c>
      <c r="M8" s="124">
        <f t="shared" si="1"/>
        <v>907833.87736734934</v>
      </c>
      <c r="N8" s="124">
        <f t="shared" si="1"/>
        <v>1100331.1245479127</v>
      </c>
      <c r="O8" s="124">
        <f t="shared" si="1"/>
        <v>1321665.6177088241</v>
      </c>
      <c r="P8" s="124">
        <f t="shared" si="1"/>
        <v>1576157.3498261443</v>
      </c>
      <c r="Q8" s="124">
        <f t="shared" si="1"/>
        <v>1868773.4748193172</v>
      </c>
      <c r="R8" s="124">
        <f t="shared" si="1"/>
        <v>2205225.2561547817</v>
      </c>
      <c r="S8" s="124">
        <f t="shared" si="1"/>
        <v>2592079.5389337922</v>
      </c>
      <c r="T8" s="124">
        <f t="shared" si="1"/>
        <v>3036886.9211697793</v>
      </c>
      <c r="U8" s="124">
        <f t="shared" si="1"/>
        <v>3548329.1258943286</v>
      </c>
      <c r="V8" s="124">
        <f t="shared" si="1"/>
        <v>4136388.4504914498</v>
      </c>
      <c r="W8" s="124">
        <f t="shared" si="1"/>
        <v>4812542.6005617771</v>
      </c>
      <c r="X8" s="124">
        <f t="shared" si="1"/>
        <v>5589988.7110720444</v>
      </c>
      <c r="Y8" s="125">
        <f t="shared" si="1"/>
        <v>6483900.9272207981</v>
      </c>
    </row>
    <row r="9" spans="2:25" ht="26.1" customHeight="1">
      <c r="B9" s="121" t="s">
        <v>136</v>
      </c>
      <c r="C9" s="122">
        <v>50000</v>
      </c>
      <c r="D9" s="117">
        <v>7.0000000000000007E-2</v>
      </c>
      <c r="E9" s="122">
        <v>0</v>
      </c>
      <c r="F9" s="123">
        <f>-FV($D9/12,($G$5-$F$5)*12,$E9) + $C9</f>
        <v>50000</v>
      </c>
      <c r="G9" s="124">
        <f t="shared" si="1"/>
        <v>57490.300875133646</v>
      </c>
      <c r="H9" s="124">
        <f t="shared" si="1"/>
        <v>66102.693894267853</v>
      </c>
      <c r="I9" s="124">
        <f t="shared" si="1"/>
        <v>76005.275212766384</v>
      </c>
      <c r="J9" s="124">
        <f t="shared" si="1"/>
        <v>87391.322801585542</v>
      </c>
      <c r="K9" s="124">
        <f t="shared" si="1"/>
        <v>100483.0688347816</v>
      </c>
      <c r="L9" s="124">
        <f t="shared" si="1"/>
        <v>115536.03720336719</v>
      </c>
      <c r="M9" s="124">
        <f t="shared" si="1"/>
        <v>132844.0308148443</v>
      </c>
      <c r="N9" s="124">
        <f t="shared" si="1"/>
        <v>152744.8660202185</v>
      </c>
      <c r="O9" s="124">
        <f t="shared" si="1"/>
        <v>175626.96609268678</v>
      </c>
      <c r="P9" s="124">
        <f t="shared" si="1"/>
        <v>201936.94244910916</v>
      </c>
      <c r="Q9" s="124">
        <f t="shared" si="1"/>
        <v>232188.31158407667</v>
      </c>
      <c r="R9" s="124">
        <f t="shared" si="1"/>
        <v>266971.51785315695</v>
      </c>
      <c r="S9" s="124">
        <f t="shared" si="1"/>
        <v>306965.45772938215</v>
      </c>
      <c r="T9" s="124">
        <f t="shared" si="1"/>
        <v>352950.73046270601</v>
      </c>
      <c r="U9" s="124">
        <f t="shared" si="1"/>
        <v>405824.87376798334</v>
      </c>
      <c r="V9" s="124">
        <f t="shared" si="1"/>
        <v>466619.88191068993</v>
      </c>
      <c r="W9" s="124">
        <f t="shared" si="1"/>
        <v>536522.3481072979</v>
      </c>
      <c r="X9" s="124">
        <f t="shared" si="1"/>
        <v>616896.62437843496</v>
      </c>
      <c r="Y9" s="125">
        <f t="shared" si="1"/>
        <v>709311.45088741067</v>
      </c>
    </row>
    <row r="10" spans="2:25" ht="26.1" customHeight="1">
      <c r="B10" s="121" t="s">
        <v>91</v>
      </c>
      <c r="C10" s="122">
        <v>50000</v>
      </c>
      <c r="D10" s="117">
        <v>7.0000000000000007E-2</v>
      </c>
      <c r="E10" s="122">
        <v>3271</v>
      </c>
      <c r="F10" s="123">
        <f>-FV($D10/12,($G$5-$F$5)*12,$E10) + $C10</f>
        <v>134002.65427164169</v>
      </c>
      <c r="G10" s="124">
        <f t="shared" si="1"/>
        <v>238079.71251450561</v>
      </c>
      <c r="H10" s="124">
        <f t="shared" si="1"/>
        <v>357748.14036612667</v>
      </c>
      <c r="I10" s="124">
        <f t="shared" si="1"/>
        <v>495343.61881500506</v>
      </c>
      <c r="J10" s="124">
        <f t="shared" si="1"/>
        <v>653551.72791668482</v>
      </c>
      <c r="K10" s="124">
        <f t="shared" si="1"/>
        <v>835460.36377951561</v>
      </c>
      <c r="L10" s="124">
        <f t="shared" si="1"/>
        <v>1044620.007930301</v>
      </c>
      <c r="M10" s="124">
        <f t="shared" si="1"/>
        <v>1285113.0253935917</v>
      </c>
      <c r="N10" s="124">
        <f t="shared" si="1"/>
        <v>1561633.3440402588</v>
      </c>
      <c r="O10" s="124">
        <f t="shared" si="1"/>
        <v>1879578.0703819534</v>
      </c>
      <c r="P10" s="124">
        <f t="shared" si="1"/>
        <v>2245152.8299628743</v>
      </c>
      <c r="Q10" s="124">
        <f t="shared" si="1"/>
        <v>2665492.8883761102</v>
      </c>
      <c r="R10" s="124">
        <f t="shared" si="1"/>
        <v>3148802.4169370737</v>
      </c>
      <c r="S10" s="124">
        <f t="shared" si="1"/>
        <v>3704514.6211928497</v>
      </c>
      <c r="T10" s="124">
        <f t="shared" si="1"/>
        <v>4343475.8576458152</v>
      </c>
      <c r="U10" s="124">
        <f t="shared" si="1"/>
        <v>5078157.3322703838</v>
      </c>
      <c r="V10" s="124">
        <f t="shared" si="1"/>
        <v>5922898.5127414502</v>
      </c>
      <c r="W10" s="124">
        <f t="shared" si="1"/>
        <v>6894187.0052793929</v>
      </c>
      <c r="X10" s="124">
        <f t="shared" si="1"/>
        <v>8010980.3587306198</v>
      </c>
      <c r="Y10" s="125">
        <f t="shared" si="1"/>
        <v>9295076.0768358298</v>
      </c>
    </row>
    <row r="11" spans="2:25" ht="26.1" customHeight="1" thickBot="1">
      <c r="B11" s="126" t="s">
        <v>92</v>
      </c>
      <c r="C11" s="127">
        <v>50000</v>
      </c>
      <c r="D11" s="117">
        <v>7.0000000000000007E-2</v>
      </c>
      <c r="E11" s="127">
        <v>1800</v>
      </c>
      <c r="F11" s="128">
        <f>-FV($D11/12,($G$5-$F$5)*12,$E11) + $C11</f>
        <v>96225.856829396231</v>
      </c>
      <c r="G11" s="129">
        <f t="shared" si="1"/>
        <v>156866.92605118669</v>
      </c>
      <c r="H11" s="129">
        <f t="shared" si="1"/>
        <v>226592.39235019748</v>
      </c>
      <c r="I11" s="129">
        <f t="shared" si="1"/>
        <v>306763.15307397995</v>
      </c>
      <c r="J11" s="129">
        <f t="shared" si="1"/>
        <v>398943.97618195193</v>
      </c>
      <c r="K11" s="129">
        <f t="shared" si="1"/>
        <v>504934.04128984758</v>
      </c>
      <c r="L11" s="129">
        <f t="shared" si="1"/>
        <v>626802.05594640609</v>
      </c>
      <c r="M11" s="129">
        <f t="shared" si="1"/>
        <v>766926.63253962097</v>
      </c>
      <c r="N11" s="129">
        <f t="shared" si="1"/>
        <v>928042.71390651364</v>
      </c>
      <c r="O11" s="129">
        <f t="shared" si="1"/>
        <v>1113294.9537786171</v>
      </c>
      <c r="P11" s="129">
        <f t="shared" si="1"/>
        <v>1326299.0939394103</v>
      </c>
      <c r="Q11" s="129">
        <f t="shared" si="1"/>
        <v>1571212.5360492731</v>
      </c>
      <c r="R11" s="129">
        <f t="shared" si="1"/>
        <v>1852815.4855544858</v>
      </c>
      <c r="S11" s="129">
        <f t="shared" si="1"/>
        <v>2176604.2514420813</v>
      </c>
      <c r="T11" s="129">
        <f t="shared" si="1"/>
        <v>2548898.5228594025</v>
      </c>
      <c r="U11" s="129">
        <f t="shared" si="1"/>
        <v>2976964.716416812</v>
      </c>
      <c r="V11" s="129">
        <f t="shared" si="1"/>
        <v>3469157.8016585852</v>
      </c>
      <c r="W11" s="129">
        <f t="shared" si="1"/>
        <v>4035084.3728427822</v>
      </c>
      <c r="X11" s="129">
        <f t="shared" si="1"/>
        <v>4685790.149855027</v>
      </c>
      <c r="Y11" s="130">
        <f t="shared" si="1"/>
        <v>5433975.567887458</v>
      </c>
    </row>
    <row r="12" spans="2:25" ht="15.75" thickBot="1"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</row>
    <row r="13" spans="2:25" ht="17.100000000000001" customHeight="1" thickBot="1">
      <c r="B13" s="132" t="s">
        <v>59</v>
      </c>
      <c r="C13" s="133">
        <f>SUM(C7:C11)</f>
        <v>250000</v>
      </c>
      <c r="D13" s="134" t="s">
        <v>51</v>
      </c>
      <c r="E13" s="134">
        <f>SUM(E7:E11)</f>
        <v>9271</v>
      </c>
      <c r="F13" s="135">
        <f t="shared" ref="F13:Y13" si="2">MROUND(SUM(F7:F11),10000)</f>
        <v>490000</v>
      </c>
      <c r="G13" s="136">
        <f t="shared" si="2"/>
        <v>800000</v>
      </c>
      <c r="H13" s="136">
        <f t="shared" si="2"/>
        <v>1160000</v>
      </c>
      <c r="I13" s="136">
        <f t="shared" si="2"/>
        <v>1570000</v>
      </c>
      <c r="J13" s="136">
        <f t="shared" si="2"/>
        <v>2040000</v>
      </c>
      <c r="K13" s="136">
        <f t="shared" si="2"/>
        <v>2590000</v>
      </c>
      <c r="L13" s="136">
        <f t="shared" si="2"/>
        <v>3210000</v>
      </c>
      <c r="M13" s="136">
        <f t="shared" si="2"/>
        <v>3930000</v>
      </c>
      <c r="N13" s="136">
        <f t="shared" si="2"/>
        <v>4760000</v>
      </c>
      <c r="O13" s="136">
        <f t="shared" si="2"/>
        <v>5710000</v>
      </c>
      <c r="P13" s="136">
        <f t="shared" si="2"/>
        <v>6800000</v>
      </c>
      <c r="Q13" s="136">
        <f t="shared" si="2"/>
        <v>8060000</v>
      </c>
      <c r="R13" s="136">
        <f t="shared" si="2"/>
        <v>9500000</v>
      </c>
      <c r="S13" s="136">
        <f t="shared" si="2"/>
        <v>11160000</v>
      </c>
      <c r="T13" s="136">
        <f t="shared" si="2"/>
        <v>13080000</v>
      </c>
      <c r="U13" s="136">
        <f t="shared" si="2"/>
        <v>15270000</v>
      </c>
      <c r="V13" s="136">
        <f t="shared" si="2"/>
        <v>17800000</v>
      </c>
      <c r="W13" s="136">
        <f t="shared" si="2"/>
        <v>20700000</v>
      </c>
      <c r="X13" s="136">
        <f t="shared" si="2"/>
        <v>24040000</v>
      </c>
      <c r="Y13" s="137">
        <f t="shared" si="2"/>
        <v>27880000</v>
      </c>
    </row>
  </sheetData>
  <sheetProtection sheet="1" objects="1"/>
  <mergeCells count="3">
    <mergeCell ref="B5:B6"/>
    <mergeCell ref="D5:D6"/>
    <mergeCell ref="E5:E6"/>
  </mergeCells>
  <conditionalFormatting sqref="D7:D11">
    <cfRule type="colorScale" priority="1">
      <colorScale>
        <cfvo type="min"/>
        <cfvo type="max"/>
        <color theme="9" tint="0.79998168889431442"/>
        <color rgb="FF63BE7B"/>
      </colorScale>
    </cfRule>
  </conditionalFormatting>
  <conditionalFormatting sqref="F7:Y11">
    <cfRule type="colorScale" priority="3">
      <colorScale>
        <cfvo type="min"/>
        <cfvo type="max"/>
        <color theme="9" tint="0.79998168889431442"/>
        <color rgb="FF63BE7B"/>
      </colorScale>
    </cfRule>
  </conditionalFormatting>
  <conditionalFormatting sqref="F13:Y13">
    <cfRule type="colorScale" priority="2">
      <colorScale>
        <cfvo type="min"/>
        <cfvo type="max"/>
        <color theme="9" tint="0.79998168889431442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תזרים</vt:lpstr>
      <vt:lpstr>מאזן</vt:lpstr>
      <vt:lpstr>פנסיה</vt:lpstr>
      <vt:lpstr>התפתחות הון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 Ofek</dc:creator>
  <cp:lastModifiedBy>Nadav Fried</cp:lastModifiedBy>
  <dcterms:created xsi:type="dcterms:W3CDTF">2022-10-08T21:49:13Z</dcterms:created>
  <dcterms:modified xsi:type="dcterms:W3CDTF">2026-07-24T13:22:08Z</dcterms:modified>
</cp:coreProperties>
</file>